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mailmissouri-my.sharepoint.com/personal/milhollinr_umsystem_edu/Documents/Crops/Crop Budgets/2024/Forage/"/>
    </mc:Choice>
  </mc:AlternateContent>
  <xr:revisionPtr revIDLastSave="273" documentId="8_{6FB9F28F-2FEA-49E3-B142-0174ACCF9E20}" xr6:coauthVersionLast="47" xr6:coauthVersionMax="47" xr10:uidLastSave="{4331A528-7065-44E5-9970-EA445D7E4627}"/>
  <bookViews>
    <workbookView xWindow="28680" yWindow="-120" windowWidth="29040" windowHeight="15840" activeTab="1" xr2:uid="{76A8302F-5F84-4534-867A-691A0754524F}"/>
  </bookViews>
  <sheets>
    <sheet name="Introduction" sheetId="17" r:id="rId1"/>
    <sheet name="Inputs" sheetId="18" r:id="rId2"/>
    <sheet name="Alfalfa Establishment" sheetId="10" r:id="rId3"/>
    <sheet name="Alfalfa Small Squares" sheetId="12" r:id="rId4"/>
    <sheet name="Alfalfa Baleage" sheetId="11" r:id="rId5"/>
    <sheet name="Corn Silage" sheetId="9" r:id="rId6"/>
    <sheet name="Pasture Establishment" sheetId="13" r:id="rId7"/>
    <sheet name="Mixed Hay" sheetId="16" r:id="rId8"/>
    <sheet name="Fescue Seed+Forage" sheetId="8" r:id="rId9"/>
    <sheet name="Equipment" sheetId="20" r:id="rId10"/>
    <sheet name="Custom Hire" sheetId="21" r:id="rId11"/>
  </sheets>
  <externalReferences>
    <externalReference r:id="rId12"/>
    <externalReference r:id="rId1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acres">[1]Input!$B$12</definedName>
    <definedName name="Boom_Sprayer">[1]MDB!$A$100:$A$101</definedName>
    <definedName name="Boom_Sprayer_SP">[1]MDB!$A$99</definedName>
    <definedName name="byyield">[1]MDB!$C$160</definedName>
    <definedName name="Chisel_Plow">[1]MDB!$A$39:$A$42</definedName>
    <definedName name="Chisel_Plow_FD">[1]MDB!$A$43:$A$44</definedName>
    <definedName name="Comb_Disk_VRipper">[1]MDB!$A$66:$A$67</definedName>
    <definedName name="Comb_Fld_Cult_Incorp">[1]MDB!$A$63:$A$65</definedName>
    <definedName name="Combine_Size">[1]MDB!$B$24:$B$27</definedName>
    <definedName name="Cornhead_Size">[1]MDB!$A$133:$A$135</definedName>
    <definedName name="crop">[1]MDB!$C$164</definedName>
    <definedName name="cropnum">[1]MDB!$C$158</definedName>
    <definedName name="Crops">[1]MDB!$I$157:$I$163</definedName>
    <definedName name="Cultivator">[1]MDB!$A$91:$A$94</definedName>
    <definedName name="Cultivator_HR">[1]MDB!$A$95:$A$97</definedName>
    <definedName name="CustomActivities">'Custom Hire'!$I$3:$K$53</definedName>
    <definedName name="customhire2">[1]Input!$F$114:$F$117,[1]Input!$F$123:$F$126</definedName>
    <definedName name="CustomImps">Table4[Activity]</definedName>
    <definedName name="Disc_Mower">[1]MDB!$A$104:$A$107</definedName>
    <definedName name="Disk">[1]MDB!$A$68:$A$69</definedName>
    <definedName name="Disk_Mower">[1]MDB!$A$108:$A$109</definedName>
    <definedName name="drying">[1]Input!$B$106,[1]Input!$F$106</definedName>
    <definedName name="Field_Cultivator">[1]MDB!$A$49:$A$54</definedName>
    <definedName name="Grain_Auger">[1]MDB!$A$34</definedName>
    <definedName name="Graincart">[1]MDB!$A$32:$A$33</definedName>
    <definedName name="Grainhead_Size">[1]MDB!$A$125:$A$127</definedName>
    <definedName name="Harrow">[1]MDB!$A$70:$A$71</definedName>
    <definedName name="hauling">[1]Input!$B$108:$B$109,[1]Input!$F$108:$F$109</definedName>
    <definedName name="herbicide2">[1]Input!$F$43:$F$50,[1]Input!$B$51:$F$51</definedName>
    <definedName name="ImplSel" localSheetId="10">[2]!Implements7[Selection]</definedName>
    <definedName name="ImplSel">Implements7[Selection]</definedName>
    <definedName name="import">[1]Store!$E$3:$F$297</definedName>
    <definedName name="income">[1]Output!$F$12</definedName>
    <definedName name="insecticide2">[1]Input!$F$55:$F$58,[1]Input!$B$59:$F$59</definedName>
    <definedName name="Irrigation">[1]MDB!$G$157:$G$158</definedName>
    <definedName name="irrigation2">[1]MDB!$C$161</definedName>
    <definedName name="lease_arrangement">[1]MDB!$G$160:$G$162</definedName>
    <definedName name="leasenum">[1]MDB!$C$162</definedName>
    <definedName name="mdbvalues">[1]Output!$C$8:$H$12,[1]Output!$D$15:$H$49,[1]Output!$B$51:$G$62,[1]Output!$B$68:$G$104</definedName>
    <definedName name="Moldboard_Plow">[1]MDB!$A$45:$A$48</definedName>
    <definedName name="NoTill_Drill">[1]MDB!$A$88:$A$90</definedName>
    <definedName name="NoTill_Planter">[1]MDB!$A$80:$A$83</definedName>
    <definedName name="Passes">[1]Input!$F$149:$F$158,[1]Input!$F$160:$F$164,[1]Input!$F$166:$F$173,[1]Input!$F$175:$F$195</definedName>
    <definedName name="Planter">[1]MDB!$A$72:$A$75</definedName>
    <definedName name="postharvest">[1]Input!$B$104:$B$109,[1]Input!$F$105:$F$106,[1]Input!$F$108:$F$109</definedName>
    <definedName name="power">[1]Input!$D$149:$D$158,[1]Input!$D$160:$D$164,[1]Input!$D$166:$D$170,[1]Input!$D$172:$D$173,[1]Input!$D$175:$D$192,[1]Input!$D$196:$D$197</definedName>
    <definedName name="Power_Size">[1]MDB!$H$4:$H$5</definedName>
    <definedName name="PowerSel" localSheetId="10">[2]!Power1[HP &amp; descriptive information]</definedName>
    <definedName name="PowerSel">Power1[HP &amp; descriptive information]</definedName>
    <definedName name="Presswheel_Drill">[1]MDB!$A$84:$A$87</definedName>
    <definedName name="Primary_Units">[1]MDB!$L$157:$L$160</definedName>
    <definedName name="primyield">[1]MDB!$C$159</definedName>
    <definedName name="_xlnm.Print_Area" localSheetId="4">'Alfalfa Baleage'!$B$1:$H$103</definedName>
    <definedName name="_xlnm.Print_Area" localSheetId="2">'Alfalfa Establishment'!$B$1:$H$110</definedName>
    <definedName name="_xlnm.Print_Area" localSheetId="3">'Alfalfa Small Squares'!$B$1:$H$104</definedName>
    <definedName name="_xlnm.Print_Area" localSheetId="5">'Corn Silage'!$B$1:$H$106</definedName>
    <definedName name="_xlnm.Print_Area" localSheetId="8">'Fescue Seed+Forage'!$B$1:$H$108</definedName>
    <definedName name="_xlnm.Print_Area" localSheetId="7">'Mixed Hay'!$B$1:$H$103</definedName>
    <definedName name="_xlnm.Print_Area" localSheetId="6">'Pasture Establishment'!$B$1:$H$108</definedName>
    <definedName name="PUAlloc">[1]Input!$B$100</definedName>
    <definedName name="PUMiles">[1]Input!$B$99</definedName>
    <definedName name="rental">[1]Input!$H$149:$H$158,[1]Input!$H$160:$H$164,[1]Input!$H$166:$H$173,[1]Input!$H$175:$H$195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ller_Bar_Rake">[1]MDB!$A$110:$A$112</definedName>
    <definedName name="Round_Baler_Tie">[1]MDB!$A$118:$A$121</definedName>
    <definedName name="seed2">[1]Input!$B$22:$B$25,[1]Input!$B$27,[1]Input!$B$28:$F$28</definedName>
    <definedName name="SemiAlloc">[1]Input!$B$109</definedName>
    <definedName name="SemiMiles">[1]Input!$F$109</definedName>
    <definedName name="Silage_Wrapper">[1]MDB!$A$31</definedName>
    <definedName name="Soybeanhead_Size">[1]MDB!$A$128:$A$132</definedName>
    <definedName name="SplitRow_Planter">[1]MDB!$A$76:$A$79</definedName>
    <definedName name="storage">[1]Input!$B$105,[1]Input!$F$105</definedName>
    <definedName name="Swather_Mower_Conditioner">[1]MDB!$A$113:$A$115</definedName>
    <definedName name="Tandem_Disk">[1]MDB!$A$55:$A$58</definedName>
    <definedName name="TenWheelAlloc">[1]Input!$B$108</definedName>
    <definedName name="TenWheelMiles">[1]Input!$F$108</definedName>
    <definedName name="VRipper">[1]MDB!$A$59:$A$62</definedName>
    <definedName name="Wheel_Rake">[1]MDB!$A$136:$A$140</definedName>
    <definedName name="wrn.all." localSheetId="10" hidden="1">{"detail",#N/A,FALSE,"Trac_Table";"tractable",#N/A,FALSE,"Trac_Table";"sensitivity",#N/A,FALSE,"Trac_Table"}</definedName>
    <definedName name="wrn.all." localSheetId="9" hidden="1">{"detail",#N/A,FALSE,"Trac_Table";"tractable",#N/A,FALSE,"Trac_Table";"sensitivity",#N/A,FALSE,"Trac_Table"}</definedName>
    <definedName name="wrn.all." hidden="1">{"detail",#N/A,FALSE,"Trac_Table";"tractable",#N/A,FALSE,"Trac_Table";"sensitivity",#N/A,FALSE,"Trac_Table"}</definedName>
    <definedName name="ww">Table4[Activity]</definedName>
    <definedName name="yield">[1]Input!$B$13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54" i="8" l="1"/>
  <c r="C52" i="16"/>
  <c r="C54" i="13"/>
  <c r="G73" i="9"/>
  <c r="C54" i="9"/>
  <c r="C52" i="11"/>
  <c r="C52" i="12"/>
  <c r="G76" i="10"/>
  <c r="C53" i="10"/>
  <c r="D45" i="21" l="1"/>
  <c r="C45" i="21"/>
  <c r="C43" i="21"/>
  <c r="C42" i="21"/>
  <c r="C38" i="21"/>
  <c r="C37" i="21"/>
  <c r="C36" i="21"/>
  <c r="C32" i="21"/>
  <c r="C31" i="21"/>
  <c r="C30" i="21"/>
  <c r="C26" i="21"/>
  <c r="C25" i="21"/>
  <c r="C24" i="21"/>
  <c r="C20" i="21"/>
  <c r="C19" i="21"/>
  <c r="C18" i="21"/>
  <c r="D43" i="21"/>
  <c r="D42" i="21"/>
  <c r="D38" i="21"/>
  <c r="D37" i="21"/>
  <c r="D36" i="21"/>
  <c r="D32" i="21"/>
  <c r="D31" i="21"/>
  <c r="D30" i="21"/>
  <c r="D26" i="21"/>
  <c r="D25" i="21"/>
  <c r="D24" i="21"/>
  <c r="D20" i="21"/>
  <c r="D19" i="21"/>
  <c r="D18" i="21"/>
  <c r="D14" i="21"/>
  <c r="D13" i="21"/>
  <c r="D12" i="21"/>
  <c r="D8" i="21"/>
  <c r="D7" i="21"/>
  <c r="D6" i="21"/>
  <c r="C14" i="21"/>
  <c r="C13" i="21"/>
  <c r="C12" i="21"/>
  <c r="C7" i="21"/>
  <c r="C6" i="21"/>
  <c r="C8" i="21"/>
  <c r="H54" i="8" l="1"/>
  <c r="H53" i="8"/>
  <c r="BR6" i="20" l="1"/>
  <c r="BR10" i="20"/>
  <c r="F72" i="8" l="1"/>
  <c r="B62" i="8"/>
  <c r="D62" i="8"/>
  <c r="F62" i="8"/>
  <c r="E62" i="8"/>
  <c r="B61" i="8"/>
  <c r="D61" i="8"/>
  <c r="E61" i="8"/>
  <c r="F61" i="8"/>
  <c r="D60" i="8"/>
  <c r="B60" i="8"/>
  <c r="D59" i="8"/>
  <c r="B59" i="8"/>
  <c r="D58" i="16"/>
  <c r="B58" i="16"/>
  <c r="D57" i="16"/>
  <c r="B57" i="16"/>
  <c r="D60" i="13"/>
  <c r="B60" i="13"/>
  <c r="D59" i="13"/>
  <c r="B59" i="13"/>
  <c r="D60" i="9"/>
  <c r="B60" i="9"/>
  <c r="D59" i="9"/>
  <c r="B59" i="9"/>
  <c r="D58" i="12"/>
  <c r="B58" i="12"/>
  <c r="D57" i="12"/>
  <c r="B57" i="12"/>
  <c r="B59" i="11"/>
  <c r="B58" i="11"/>
  <c r="D59" i="11"/>
  <c r="D58" i="11"/>
  <c r="D57" i="11"/>
  <c r="B57" i="11"/>
  <c r="D60" i="10"/>
  <c r="B60" i="10"/>
  <c r="D59" i="10"/>
  <c r="B59" i="10"/>
  <c r="D58" i="10"/>
  <c r="B58" i="10"/>
  <c r="D26" i="8"/>
  <c r="D24" i="8"/>
  <c r="D25" i="16"/>
  <c r="D24" i="13"/>
  <c r="D26" i="13"/>
  <c r="D23" i="16"/>
  <c r="D24" i="9"/>
  <c r="D22" i="9"/>
  <c r="D24" i="12" l="1"/>
  <c r="D22" i="12"/>
  <c r="D24" i="11"/>
  <c r="D22" i="11"/>
  <c r="G66" i="11"/>
  <c r="I73" i="20"/>
  <c r="I62" i="20"/>
  <c r="I51" i="20"/>
  <c r="I41" i="20"/>
  <c r="I27" i="20"/>
  <c r="I28" i="20"/>
  <c r="I86" i="20"/>
  <c r="I74" i="20"/>
  <c r="I63" i="20"/>
  <c r="I52" i="20"/>
  <c r="I42" i="20"/>
  <c r="I29" i="20"/>
  <c r="I16" i="20"/>
  <c r="G73" i="20"/>
  <c r="G62" i="20"/>
  <c r="G51" i="20"/>
  <c r="G41" i="20"/>
  <c r="G28" i="20"/>
  <c r="G27" i="20"/>
  <c r="E60" i="8" l="1"/>
  <c r="E59" i="8"/>
  <c r="E58" i="16"/>
  <c r="E57" i="16"/>
  <c r="E60" i="13"/>
  <c r="H60" i="13" s="1"/>
  <c r="E59" i="13"/>
  <c r="E60" i="9"/>
  <c r="E59" i="9"/>
  <c r="E58" i="12"/>
  <c r="E57" i="12"/>
  <c r="F60" i="8"/>
  <c r="G60" i="8" s="1"/>
  <c r="F59" i="8"/>
  <c r="G59" i="8" s="1"/>
  <c r="F58" i="16"/>
  <c r="F57" i="16"/>
  <c r="G57" i="16" s="1"/>
  <c r="F60" i="13"/>
  <c r="F59" i="13"/>
  <c r="F60" i="9"/>
  <c r="F59" i="9"/>
  <c r="G59" i="9" s="1"/>
  <c r="F58" i="12"/>
  <c r="F57" i="12"/>
  <c r="G57" i="12" s="1"/>
  <c r="F59" i="11"/>
  <c r="F58" i="11"/>
  <c r="F57" i="11"/>
  <c r="G57" i="11" s="1"/>
  <c r="F60" i="10"/>
  <c r="F59" i="10"/>
  <c r="F58" i="10"/>
  <c r="G58" i="10" s="1"/>
  <c r="E59" i="11"/>
  <c r="E58" i="11"/>
  <c r="E57" i="11"/>
  <c r="E59" i="10"/>
  <c r="E58" i="10"/>
  <c r="E60" i="10"/>
  <c r="D24" i="10"/>
  <c r="D22" i="10"/>
  <c r="B67" i="10"/>
  <c r="H58" i="10" l="1"/>
  <c r="H57" i="11"/>
  <c r="H60" i="8"/>
  <c r="H59" i="9"/>
  <c r="H57" i="12"/>
  <c r="B70" i="8"/>
  <c r="B71" i="8"/>
  <c r="B69" i="8"/>
  <c r="B66" i="16"/>
  <c r="B67" i="16"/>
  <c r="B65" i="16"/>
  <c r="B67" i="13"/>
  <c r="B68" i="13"/>
  <c r="B68" i="9"/>
  <c r="B69" i="9"/>
  <c r="B70" i="9"/>
  <c r="B71" i="9"/>
  <c r="B67" i="9"/>
  <c r="B66" i="12"/>
  <c r="B67" i="12"/>
  <c r="B68" i="12"/>
  <c r="B69" i="12"/>
  <c r="B65" i="12"/>
  <c r="B67" i="11"/>
  <c r="B68" i="11"/>
  <c r="B69" i="11"/>
  <c r="B66" i="11"/>
  <c r="B68" i="10"/>
  <c r="B69" i="10"/>
  <c r="B70" i="10"/>
  <c r="B71" i="10"/>
  <c r="B72" i="10"/>
  <c r="B73" i="10"/>
  <c r="B74" i="10"/>
  <c r="G67" i="13"/>
  <c r="E72" i="8"/>
  <c r="B72" i="8"/>
  <c r="G70" i="8"/>
  <c r="G71" i="8"/>
  <c r="G69" i="8"/>
  <c r="E68" i="16"/>
  <c r="G66" i="16"/>
  <c r="G67" i="16"/>
  <c r="G65" i="16"/>
  <c r="B68" i="16"/>
  <c r="E69" i="13"/>
  <c r="B69" i="13"/>
  <c r="G68" i="13"/>
  <c r="G68" i="9"/>
  <c r="G69" i="9"/>
  <c r="G70" i="9"/>
  <c r="G71" i="9"/>
  <c r="G67" i="9"/>
  <c r="E72" i="9"/>
  <c r="B72" i="9"/>
  <c r="B70" i="12"/>
  <c r="E70" i="12"/>
  <c r="G66" i="12"/>
  <c r="G67" i="12"/>
  <c r="G68" i="12"/>
  <c r="G69" i="12"/>
  <c r="G65" i="12"/>
  <c r="G67" i="11"/>
  <c r="G68" i="11"/>
  <c r="G69" i="11"/>
  <c r="E70" i="11"/>
  <c r="B70" i="11"/>
  <c r="N7" i="20"/>
  <c r="K7" i="20" s="1"/>
  <c r="N8" i="20"/>
  <c r="K8" i="20" s="1"/>
  <c r="S7" i="20"/>
  <c r="S8" i="20"/>
  <c r="V7" i="20"/>
  <c r="V8" i="20"/>
  <c r="AG7" i="20"/>
  <c r="AG8" i="20"/>
  <c r="H72" i="8"/>
  <c r="E73" i="20"/>
  <c r="D73" i="20"/>
  <c r="F68" i="16"/>
  <c r="E62" i="20"/>
  <c r="D62" i="20"/>
  <c r="H68" i="16"/>
  <c r="F69" i="13"/>
  <c r="E51" i="20"/>
  <c r="D51" i="20"/>
  <c r="N39" i="20"/>
  <c r="K39" i="20" s="1"/>
  <c r="S39" i="20"/>
  <c r="V39" i="20"/>
  <c r="AG39" i="20"/>
  <c r="H70" i="12"/>
  <c r="F72" i="9"/>
  <c r="E41" i="20"/>
  <c r="D41" i="20"/>
  <c r="G68" i="10"/>
  <c r="G69" i="10"/>
  <c r="G70" i="10"/>
  <c r="G71" i="10"/>
  <c r="G72" i="10"/>
  <c r="G73" i="10"/>
  <c r="G74" i="10"/>
  <c r="E75" i="10"/>
  <c r="G67" i="10"/>
  <c r="B75" i="10"/>
  <c r="K46" i="20"/>
  <c r="S46" i="20"/>
  <c r="V46" i="20"/>
  <c r="AG46" i="20"/>
  <c r="K40" i="20"/>
  <c r="S40" i="20"/>
  <c r="V40" i="20"/>
  <c r="AG40" i="20"/>
  <c r="H70" i="11"/>
  <c r="F70" i="11"/>
  <c r="F75" i="10"/>
  <c r="H75" i="10"/>
  <c r="N50" i="20"/>
  <c r="N51" i="20"/>
  <c r="N9" i="20"/>
  <c r="K9" i="20" s="1"/>
  <c r="S9" i="20"/>
  <c r="V9" i="20"/>
  <c r="AG9" i="20"/>
  <c r="K6" i="20"/>
  <c r="S6" i="20"/>
  <c r="V6" i="20"/>
  <c r="AG6" i="20"/>
  <c r="AL18" i="20"/>
  <c r="BB18" i="20"/>
  <c r="AQ18" i="20"/>
  <c r="BA18" i="20" s="1"/>
  <c r="AG33" i="20"/>
  <c r="N33" i="20"/>
  <c r="K33" i="20" s="1"/>
  <c r="S33" i="20"/>
  <c r="V33" i="20"/>
  <c r="N37" i="20"/>
  <c r="K37" i="20" s="1"/>
  <c r="S37" i="20"/>
  <c r="V37" i="20"/>
  <c r="AG37" i="20"/>
  <c r="N60" i="20"/>
  <c r="N61" i="20"/>
  <c r="N62" i="20"/>
  <c r="N63" i="20"/>
  <c r="N65" i="20"/>
  <c r="N64" i="20"/>
  <c r="N10" i="20"/>
  <c r="N11" i="20"/>
  <c r="N12" i="20"/>
  <c r="N13" i="20"/>
  <c r="N14" i="20"/>
  <c r="N54" i="20"/>
  <c r="N55" i="20"/>
  <c r="N56" i="20"/>
  <c r="N57" i="20"/>
  <c r="K57" i="20" s="1"/>
  <c r="N58" i="20"/>
  <c r="N52" i="20"/>
  <c r="N53" i="20"/>
  <c r="N48" i="20"/>
  <c r="N49" i="20"/>
  <c r="N68" i="20"/>
  <c r="N67" i="20"/>
  <c r="N66" i="20"/>
  <c r="N47" i="20"/>
  <c r="N34" i="20"/>
  <c r="N38" i="20"/>
  <c r="N35" i="20"/>
  <c r="N36" i="20"/>
  <c r="N59" i="20"/>
  <c r="G71" i="11" l="1"/>
  <c r="H69" i="13"/>
  <c r="AF8" i="20"/>
  <c r="F70" i="12"/>
  <c r="H72" i="9"/>
  <c r="G70" i="13"/>
  <c r="AF7" i="20"/>
  <c r="G73" i="8"/>
  <c r="G69" i="16"/>
  <c r="G71" i="12"/>
  <c r="AF40" i="20"/>
  <c r="AF39" i="20"/>
  <c r="AF33" i="20"/>
  <c r="AF46" i="20"/>
  <c r="AF9" i="20"/>
  <c r="AF6" i="20"/>
  <c r="AF37" i="20"/>
  <c r="AG32" i="20" l="1"/>
  <c r="V32" i="20"/>
  <c r="S32" i="20"/>
  <c r="K32" i="20"/>
  <c r="AG21" i="20"/>
  <c r="V21" i="20"/>
  <c r="S21" i="20"/>
  <c r="K21" i="20"/>
  <c r="AG23" i="20"/>
  <c r="V23" i="20"/>
  <c r="S23" i="20"/>
  <c r="K23" i="20"/>
  <c r="AG24" i="20"/>
  <c r="V24" i="20"/>
  <c r="S24" i="20"/>
  <c r="K24" i="20"/>
  <c r="AG27" i="20"/>
  <c r="V27" i="20"/>
  <c r="S27" i="20"/>
  <c r="K27" i="20"/>
  <c r="AG28" i="20"/>
  <c r="V28" i="20"/>
  <c r="S28" i="20"/>
  <c r="K28" i="20"/>
  <c r="AG22" i="20"/>
  <c r="V22" i="20"/>
  <c r="S22" i="20"/>
  <c r="K22" i="20"/>
  <c r="AG26" i="20"/>
  <c r="V26" i="20"/>
  <c r="S26" i="20"/>
  <c r="K26" i="20"/>
  <c r="AG25" i="20"/>
  <c r="V25" i="20"/>
  <c r="S25" i="20"/>
  <c r="K25" i="20"/>
  <c r="AG31" i="20"/>
  <c r="V31" i="20"/>
  <c r="S31" i="20"/>
  <c r="K31" i="20"/>
  <c r="BM49" i="20"/>
  <c r="AG30" i="20"/>
  <c r="V30" i="20"/>
  <c r="S30" i="20"/>
  <c r="K30" i="20"/>
  <c r="AG29" i="20"/>
  <c r="V29" i="20"/>
  <c r="S29" i="20"/>
  <c r="K29" i="20"/>
  <c r="BM47" i="20"/>
  <c r="AG19" i="20"/>
  <c r="V19" i="20"/>
  <c r="S19" i="20"/>
  <c r="K19" i="20"/>
  <c r="BM46" i="20"/>
  <c r="AG20" i="20"/>
  <c r="V20" i="20"/>
  <c r="S20" i="20"/>
  <c r="K20" i="20"/>
  <c r="BM45" i="20"/>
  <c r="AG18" i="20"/>
  <c r="V18" i="20"/>
  <c r="S18" i="20"/>
  <c r="K18" i="20"/>
  <c r="BM44" i="20"/>
  <c r="AG17" i="20"/>
  <c r="V17" i="20"/>
  <c r="S17" i="20"/>
  <c r="K17" i="20"/>
  <c r="BM43" i="20"/>
  <c r="AG16" i="20"/>
  <c r="V16" i="20"/>
  <c r="S16" i="20"/>
  <c r="K16" i="20"/>
  <c r="BM42" i="20"/>
  <c r="AG15" i="20"/>
  <c r="V15" i="20"/>
  <c r="S15" i="20"/>
  <c r="K15" i="20"/>
  <c r="BM41" i="20"/>
  <c r="AG42" i="20"/>
  <c r="V42" i="20"/>
  <c r="S42" i="20"/>
  <c r="K42" i="20"/>
  <c r="BM40" i="20"/>
  <c r="AG41" i="20"/>
  <c r="V41" i="20"/>
  <c r="S41" i="20"/>
  <c r="K41" i="20"/>
  <c r="BM39" i="20"/>
  <c r="AG43" i="20"/>
  <c r="V43" i="20"/>
  <c r="S43" i="20"/>
  <c r="K43" i="20"/>
  <c r="BM38" i="20"/>
  <c r="AG44" i="20"/>
  <c r="V44" i="20"/>
  <c r="S44" i="20"/>
  <c r="K44" i="20"/>
  <c r="BM37" i="20"/>
  <c r="AG45" i="20"/>
  <c r="V45" i="20"/>
  <c r="S45" i="20"/>
  <c r="K45" i="20"/>
  <c r="BM36" i="20"/>
  <c r="AG36" i="20"/>
  <c r="V36" i="20"/>
  <c r="Q36" i="20"/>
  <c r="S36" i="20" s="1"/>
  <c r="K36" i="20"/>
  <c r="BM35" i="20"/>
  <c r="AG35" i="20"/>
  <c r="V35" i="20"/>
  <c r="Q35" i="20"/>
  <c r="S35" i="20" s="1"/>
  <c r="K35" i="20"/>
  <c r="BM34" i="20"/>
  <c r="AG38" i="20"/>
  <c r="V38" i="20"/>
  <c r="S38" i="20"/>
  <c r="K38" i="20"/>
  <c r="BM33" i="20"/>
  <c r="AG34" i="20"/>
  <c r="V34" i="20"/>
  <c r="S34" i="20"/>
  <c r="K34" i="20"/>
  <c r="BM32" i="20"/>
  <c r="AG47" i="20"/>
  <c r="V47" i="20"/>
  <c r="S47" i="20"/>
  <c r="K47" i="20"/>
  <c r="BM31" i="20"/>
  <c r="AG66" i="20"/>
  <c r="V66" i="20"/>
  <c r="S66" i="20"/>
  <c r="K66" i="20"/>
  <c r="BM30" i="20"/>
  <c r="AG67" i="20"/>
  <c r="V67" i="20"/>
  <c r="S67" i="20"/>
  <c r="K67" i="20"/>
  <c r="BM29" i="20"/>
  <c r="AG68" i="20"/>
  <c r="V68" i="20"/>
  <c r="S68" i="20"/>
  <c r="K68" i="20"/>
  <c r="BM28" i="20"/>
  <c r="AG49" i="20"/>
  <c r="V49" i="20"/>
  <c r="S49" i="20"/>
  <c r="K49" i="20"/>
  <c r="BM27" i="20"/>
  <c r="AG48" i="20"/>
  <c r="V48" i="20"/>
  <c r="S48" i="20"/>
  <c r="K48" i="20"/>
  <c r="BM26" i="20"/>
  <c r="AG53" i="20"/>
  <c r="V53" i="20"/>
  <c r="S53" i="20"/>
  <c r="K53" i="20"/>
  <c r="BM25" i="20"/>
  <c r="AG52" i="20"/>
  <c r="V52" i="20"/>
  <c r="S52" i="20"/>
  <c r="K52" i="20"/>
  <c r="BM24" i="20"/>
  <c r="AG51" i="20"/>
  <c r="V51" i="20"/>
  <c r="S51" i="20"/>
  <c r="K51" i="20"/>
  <c r="BM23" i="20"/>
  <c r="AG50" i="20"/>
  <c r="V50" i="20"/>
  <c r="S50" i="20"/>
  <c r="K50" i="20"/>
  <c r="BM22" i="20"/>
  <c r="BB23" i="20"/>
  <c r="AQ23" i="20"/>
  <c r="BA23" i="20" s="1"/>
  <c r="AL23" i="20"/>
  <c r="AG58" i="20"/>
  <c r="V58" i="20"/>
  <c r="S58" i="20"/>
  <c r="K58" i="20"/>
  <c r="BM21" i="20"/>
  <c r="BB22" i="20"/>
  <c r="AQ22" i="20"/>
  <c r="BA22" i="20" s="1"/>
  <c r="AL22" i="20"/>
  <c r="AG57" i="20"/>
  <c r="V57" i="20"/>
  <c r="S57" i="20"/>
  <c r="BM20" i="20"/>
  <c r="AT21" i="20"/>
  <c r="BB21" i="20" s="1"/>
  <c r="AQ21" i="20"/>
  <c r="BA21" i="20" s="1"/>
  <c r="AL21" i="20"/>
  <c r="AG56" i="20"/>
  <c r="V56" i="20"/>
  <c r="S56" i="20"/>
  <c r="K56" i="20"/>
  <c r="BM19" i="20"/>
  <c r="BB20" i="20"/>
  <c r="AQ20" i="20"/>
  <c r="BA20" i="20" s="1"/>
  <c r="AL20" i="20"/>
  <c r="AG55" i="20"/>
  <c r="V55" i="20"/>
  <c r="S55" i="20"/>
  <c r="K55" i="20"/>
  <c r="BM18" i="20"/>
  <c r="BB19" i="20"/>
  <c r="AQ19" i="20"/>
  <c r="BA19" i="20" s="1"/>
  <c r="AL19" i="20"/>
  <c r="AG54" i="20"/>
  <c r="V54" i="20"/>
  <c r="S54" i="20"/>
  <c r="K54" i="20"/>
  <c r="BR17" i="20"/>
  <c r="BM17" i="20"/>
  <c r="BB17" i="20"/>
  <c r="AQ17" i="20"/>
  <c r="BA17" i="20" s="1"/>
  <c r="AL17" i="20"/>
  <c r="AG14" i="20"/>
  <c r="V14" i="20"/>
  <c r="S14" i="20"/>
  <c r="K14" i="20"/>
  <c r="BM16" i="20"/>
  <c r="BB16" i="20"/>
  <c r="AQ16" i="20"/>
  <c r="BA16" i="20" s="1"/>
  <c r="AL16" i="20"/>
  <c r="AG13" i="20"/>
  <c r="V13" i="20"/>
  <c r="S13" i="20"/>
  <c r="K13" i="20"/>
  <c r="BM15" i="20"/>
  <c r="BB15" i="20"/>
  <c r="AQ15" i="20"/>
  <c r="BA15" i="20" s="1"/>
  <c r="AL15" i="20"/>
  <c r="AG12" i="20"/>
  <c r="V12" i="20"/>
  <c r="S12" i="20"/>
  <c r="K12" i="20"/>
  <c r="BM14" i="20"/>
  <c r="BB14" i="20"/>
  <c r="AQ14" i="20"/>
  <c r="BA14" i="20" s="1"/>
  <c r="AL14" i="20"/>
  <c r="AG11" i="20"/>
  <c r="V11" i="20"/>
  <c r="S11" i="20"/>
  <c r="K11" i="20"/>
  <c r="BM13" i="20"/>
  <c r="BB13" i="20"/>
  <c r="AQ13" i="20"/>
  <c r="BA13" i="20" s="1"/>
  <c r="AL13" i="20"/>
  <c r="AG10" i="20"/>
  <c r="V10" i="20"/>
  <c r="S10" i="20"/>
  <c r="K10" i="20"/>
  <c r="BR12" i="20"/>
  <c r="BM12" i="20"/>
  <c r="BB12" i="20"/>
  <c r="AQ12" i="20"/>
  <c r="BA12" i="20" s="1"/>
  <c r="AL12" i="20"/>
  <c r="AG64" i="20"/>
  <c r="AF64" i="20"/>
  <c r="K64" i="20"/>
  <c r="BM11" i="20"/>
  <c r="BB11" i="20"/>
  <c r="AQ11" i="20"/>
  <c r="BA11" i="20" s="1"/>
  <c r="AL11" i="20"/>
  <c r="AG65" i="20"/>
  <c r="V65" i="20"/>
  <c r="S65" i="20"/>
  <c r="K65" i="20"/>
  <c r="BM10" i="20"/>
  <c r="BB10" i="20"/>
  <c r="AQ10" i="20"/>
  <c r="BA10" i="20" s="1"/>
  <c r="AL10" i="20"/>
  <c r="AG63" i="20"/>
  <c r="V63" i="20"/>
  <c r="S63" i="20"/>
  <c r="K63" i="20"/>
  <c r="BM9" i="20"/>
  <c r="BB9" i="20"/>
  <c r="AQ9" i="20"/>
  <c r="BA9" i="20" s="1"/>
  <c r="AL9" i="20"/>
  <c r="AG62" i="20"/>
  <c r="V62" i="20"/>
  <c r="S62" i="20"/>
  <c r="K62" i="20"/>
  <c r="BM8" i="20"/>
  <c r="BB8" i="20"/>
  <c r="AQ8" i="20"/>
  <c r="BA8" i="20" s="1"/>
  <c r="AL8" i="20"/>
  <c r="AG61" i="20"/>
  <c r="V61" i="20"/>
  <c r="S61" i="20"/>
  <c r="K61" i="20"/>
  <c r="BM7" i="20"/>
  <c r="BB7" i="20"/>
  <c r="AQ7" i="20"/>
  <c r="BA7" i="20" s="1"/>
  <c r="AL7" i="20"/>
  <c r="AG60" i="20"/>
  <c r="V60" i="20"/>
  <c r="S60" i="20"/>
  <c r="K60" i="20"/>
  <c r="BM6" i="20"/>
  <c r="BB6" i="20"/>
  <c r="AQ6" i="20"/>
  <c r="BA6" i="20" s="1"/>
  <c r="AL6" i="20"/>
  <c r="AG59" i="20"/>
  <c r="V59" i="20"/>
  <c r="S59" i="20"/>
  <c r="K59" i="20"/>
  <c r="F51" i="20" l="1"/>
  <c r="F85" i="20"/>
  <c r="F27" i="20"/>
  <c r="F62" i="20"/>
  <c r="F73" i="20"/>
  <c r="F41" i="20"/>
  <c r="F28" i="20"/>
  <c r="AF26" i="20"/>
  <c r="AF68" i="20"/>
  <c r="AF42" i="20"/>
  <c r="AF25" i="20"/>
  <c r="AF28" i="20"/>
  <c r="D8" i="20"/>
  <c r="E49" i="20"/>
  <c r="C67" i="13" s="1"/>
  <c r="D49" i="20"/>
  <c r="AF23" i="20"/>
  <c r="AB7" i="20"/>
  <c r="AC7" i="20" s="1"/>
  <c r="AD7" i="20" s="1"/>
  <c r="AB8" i="20"/>
  <c r="AC8" i="20" s="1"/>
  <c r="AD8" i="20" s="1"/>
  <c r="E85" i="20"/>
  <c r="C71" i="9" s="1"/>
  <c r="E70" i="20"/>
  <c r="C69" i="8" s="1"/>
  <c r="E82" i="20"/>
  <c r="C68" i="9" s="1"/>
  <c r="E83" i="20"/>
  <c r="C69" i="9" s="1"/>
  <c r="E71" i="20"/>
  <c r="C70" i="8" s="1"/>
  <c r="E81" i="20"/>
  <c r="C67" i="9" s="1"/>
  <c r="E84" i="20"/>
  <c r="C70" i="9" s="1"/>
  <c r="E72" i="20"/>
  <c r="C71" i="8" s="1"/>
  <c r="AB39" i="20"/>
  <c r="AC39" i="20" s="1"/>
  <c r="AD39" i="20" s="1"/>
  <c r="D84" i="20"/>
  <c r="D81" i="20"/>
  <c r="D72" i="20"/>
  <c r="D83" i="20"/>
  <c r="D71" i="20"/>
  <c r="D82" i="20"/>
  <c r="D85" i="20"/>
  <c r="D70" i="20"/>
  <c r="E59" i="20"/>
  <c r="C65" i="16" s="1"/>
  <c r="E61" i="20"/>
  <c r="C67" i="16" s="1"/>
  <c r="E60" i="20"/>
  <c r="C66" i="16" s="1"/>
  <c r="D59" i="20"/>
  <c r="D61" i="20"/>
  <c r="D60" i="20"/>
  <c r="E50" i="20"/>
  <c r="C68" i="13" s="1"/>
  <c r="D50" i="20"/>
  <c r="E37" i="20"/>
  <c r="C66" i="12" s="1"/>
  <c r="E39" i="20"/>
  <c r="C68" i="12" s="1"/>
  <c r="E36" i="20"/>
  <c r="C65" i="12" s="1"/>
  <c r="E38" i="20"/>
  <c r="C67" i="12" s="1"/>
  <c r="E40" i="20"/>
  <c r="C69" i="12" s="1"/>
  <c r="D40" i="20"/>
  <c r="D37" i="20"/>
  <c r="D39" i="20"/>
  <c r="D36" i="20"/>
  <c r="D38" i="20"/>
  <c r="F38" i="20" s="1"/>
  <c r="AB40" i="20"/>
  <c r="AC40" i="20" s="1"/>
  <c r="AD40" i="20" s="1"/>
  <c r="AB46" i="20"/>
  <c r="AC46" i="20" s="1"/>
  <c r="AD46" i="20" s="1"/>
  <c r="E23" i="20"/>
  <c r="C66" i="11" s="1"/>
  <c r="E28" i="20"/>
  <c r="E25" i="20"/>
  <c r="C68" i="11" s="1"/>
  <c r="E27" i="20"/>
  <c r="E24" i="20"/>
  <c r="C67" i="11" s="1"/>
  <c r="E26" i="20"/>
  <c r="C69" i="11" s="1"/>
  <c r="D23" i="20"/>
  <c r="D28" i="20"/>
  <c r="D25" i="20"/>
  <c r="D27" i="20"/>
  <c r="D26" i="20"/>
  <c r="D24" i="20"/>
  <c r="AF54" i="20"/>
  <c r="E8" i="20"/>
  <c r="C67" i="10" s="1"/>
  <c r="E14" i="20"/>
  <c r="C73" i="10" s="1"/>
  <c r="E12" i="20"/>
  <c r="C71" i="10" s="1"/>
  <c r="E10" i="20"/>
  <c r="C69" i="10" s="1"/>
  <c r="E13" i="20"/>
  <c r="C72" i="10" s="1"/>
  <c r="E11" i="20"/>
  <c r="C70" i="10" s="1"/>
  <c r="E9" i="20"/>
  <c r="C68" i="10" s="1"/>
  <c r="E15" i="20"/>
  <c r="C74" i="10" s="1"/>
  <c r="D15" i="20"/>
  <c r="D10" i="20"/>
  <c r="D13" i="20"/>
  <c r="D11" i="20"/>
  <c r="D9" i="20"/>
  <c r="D14" i="20"/>
  <c r="D12" i="20"/>
  <c r="AB6" i="20"/>
  <c r="AC6" i="20" s="1"/>
  <c r="AD6" i="20" s="1"/>
  <c r="AB9" i="20"/>
  <c r="AC9" i="20" s="1"/>
  <c r="AD9" i="20" s="1"/>
  <c r="AB12" i="20"/>
  <c r="AC12" i="20" s="1"/>
  <c r="AE12" i="20" s="1"/>
  <c r="AB60" i="20"/>
  <c r="AC60" i="20" s="1"/>
  <c r="AW18" i="20"/>
  <c r="AX18" i="20" s="1"/>
  <c r="AY18" i="20" s="1"/>
  <c r="AF21" i="20"/>
  <c r="AF34" i="20"/>
  <c r="AF22" i="20"/>
  <c r="AB33" i="20"/>
  <c r="AC33" i="20" s="1"/>
  <c r="AF17" i="20"/>
  <c r="AB37" i="20"/>
  <c r="AC37" i="20" s="1"/>
  <c r="AD37" i="20" s="1"/>
  <c r="AF41" i="20"/>
  <c r="AW13" i="20"/>
  <c r="AX13" i="20" s="1"/>
  <c r="AY13" i="20" s="1"/>
  <c r="AF35" i="20"/>
  <c r="AF61" i="20"/>
  <c r="AF48" i="20"/>
  <c r="AF43" i="20"/>
  <c r="AF63" i="20"/>
  <c r="AF58" i="20"/>
  <c r="AF24" i="20"/>
  <c r="AF32" i="20"/>
  <c r="AF44" i="20"/>
  <c r="AB65" i="20"/>
  <c r="AC65" i="20" s="1"/>
  <c r="AF11" i="20"/>
  <c r="AF38" i="20"/>
  <c r="AB62" i="20"/>
  <c r="AC62" i="20" s="1"/>
  <c r="AE62" i="20" s="1"/>
  <c r="AF30" i="20"/>
  <c r="AF10" i="20"/>
  <c r="AF59" i="20"/>
  <c r="AF52" i="20"/>
  <c r="AF19" i="20"/>
  <c r="AF13" i="20"/>
  <c r="AW23" i="20"/>
  <c r="AX23" i="20" s="1"/>
  <c r="AY23" i="20" s="1"/>
  <c r="AF16" i="20"/>
  <c r="AF49" i="20"/>
  <c r="AF57" i="20"/>
  <c r="AF66" i="20"/>
  <c r="AF18" i="20"/>
  <c r="AF31" i="20"/>
  <c r="AF20" i="20"/>
  <c r="AF56" i="20"/>
  <c r="AF62" i="20"/>
  <c r="AB55" i="20"/>
  <c r="AC55" i="20" s="1"/>
  <c r="AD55" i="20" s="1"/>
  <c r="AF36" i="20"/>
  <c r="AB28" i="20"/>
  <c r="AC28" i="20" s="1"/>
  <c r="AD28" i="20" s="1"/>
  <c r="AB10" i="20"/>
  <c r="AC10" i="20" s="1"/>
  <c r="AE10" i="20" s="1"/>
  <c r="AF47" i="20"/>
  <c r="AF14" i="20"/>
  <c r="AF67" i="20"/>
  <c r="AF27" i="20"/>
  <c r="AF53" i="20"/>
  <c r="AF45" i="20"/>
  <c r="AF65" i="20"/>
  <c r="AF29" i="20"/>
  <c r="AF55" i="20"/>
  <c r="AF15" i="20"/>
  <c r="AB14" i="20"/>
  <c r="AC14" i="20" s="1"/>
  <c r="AE14" i="20" s="1"/>
  <c r="AB51" i="20"/>
  <c r="AC51" i="20" s="1"/>
  <c r="AB43" i="20"/>
  <c r="AC43" i="20" s="1"/>
  <c r="AD43" i="20" s="1"/>
  <c r="AB21" i="20"/>
  <c r="AC21" i="20" s="1"/>
  <c r="AD21" i="20" s="1"/>
  <c r="AB17" i="20"/>
  <c r="AC17" i="20" s="1"/>
  <c r="AB36" i="20"/>
  <c r="AC36" i="20" s="1"/>
  <c r="AB38" i="20"/>
  <c r="AC38" i="20" s="1"/>
  <c r="AB53" i="20"/>
  <c r="AC53" i="20" s="1"/>
  <c r="AB58" i="20"/>
  <c r="AC58" i="20" s="1"/>
  <c r="AW19" i="20"/>
  <c r="AX19" i="20" s="1"/>
  <c r="AW10" i="20"/>
  <c r="AX10" i="20" s="1"/>
  <c r="AW8" i="20"/>
  <c r="AX8" i="20" s="1"/>
  <c r="AW6" i="20"/>
  <c r="AX6" i="20" s="1"/>
  <c r="AB52" i="20"/>
  <c r="AC52" i="20" s="1"/>
  <c r="AW22" i="20"/>
  <c r="AX22" i="20" s="1"/>
  <c r="AB64" i="20"/>
  <c r="AC64" i="20" s="1"/>
  <c r="AB25" i="20"/>
  <c r="AC25" i="20" s="1"/>
  <c r="AD25" i="20" s="1"/>
  <c r="AB18" i="20"/>
  <c r="AC18" i="20" s="1"/>
  <c r="AD18" i="20" s="1"/>
  <c r="AB23" i="20"/>
  <c r="AC23" i="20" s="1"/>
  <c r="AD23" i="20" s="1"/>
  <c r="AB22" i="20"/>
  <c r="AC22" i="20" s="1"/>
  <c r="AD22" i="20" s="1"/>
  <c r="AB42" i="20"/>
  <c r="AC42" i="20" s="1"/>
  <c r="AB66" i="20"/>
  <c r="AC66" i="20" s="1"/>
  <c r="AB56" i="20"/>
  <c r="AC56" i="20" s="1"/>
  <c r="AB54" i="20"/>
  <c r="AC54" i="20" s="1"/>
  <c r="AW16" i="20"/>
  <c r="AX16" i="20" s="1"/>
  <c r="AW14" i="20"/>
  <c r="AX14" i="20" s="1"/>
  <c r="AB63" i="20"/>
  <c r="AC63" i="20" s="1"/>
  <c r="AB61" i="20"/>
  <c r="AC61" i="20" s="1"/>
  <c r="AB59" i="20"/>
  <c r="AC59" i="20" s="1"/>
  <c r="AB30" i="20"/>
  <c r="AC30" i="20" s="1"/>
  <c r="AB20" i="20"/>
  <c r="AC20" i="20" s="1"/>
  <c r="AB44" i="20"/>
  <c r="AC44" i="20" s="1"/>
  <c r="AB49" i="20"/>
  <c r="AC49" i="20" s="1"/>
  <c r="AB13" i="20"/>
  <c r="AC13" i="20" s="1"/>
  <c r="AB11" i="20"/>
  <c r="AC11" i="20" s="1"/>
  <c r="AW12" i="20"/>
  <c r="AX12" i="20" s="1"/>
  <c r="AB16" i="20"/>
  <c r="AC16" i="20" s="1"/>
  <c r="AD16" i="20" s="1"/>
  <c r="AB34" i="20"/>
  <c r="AC34" i="20" s="1"/>
  <c r="AD34" i="20" s="1"/>
  <c r="AB24" i="20"/>
  <c r="AC24" i="20" s="1"/>
  <c r="AD24" i="20" s="1"/>
  <c r="AB26" i="20"/>
  <c r="AC26" i="20" s="1"/>
  <c r="AD26" i="20" s="1"/>
  <c r="AB29" i="20"/>
  <c r="AC29" i="20" s="1"/>
  <c r="AD29" i="20" s="1"/>
  <c r="AB41" i="20"/>
  <c r="AC41" i="20" s="1"/>
  <c r="AD41" i="20" s="1"/>
  <c r="AB35" i="20"/>
  <c r="AC35" i="20" s="1"/>
  <c r="AD35" i="20" s="1"/>
  <c r="AB67" i="20"/>
  <c r="AC67" i="20" s="1"/>
  <c r="AD67" i="20" s="1"/>
  <c r="AB50" i="20"/>
  <c r="AC50" i="20" s="1"/>
  <c r="AD50" i="20" s="1"/>
  <c r="AB57" i="20"/>
  <c r="AC57" i="20" s="1"/>
  <c r="AD57" i="20" s="1"/>
  <c r="AW20" i="20"/>
  <c r="AX20" i="20" s="1"/>
  <c r="AY20" i="20" s="1"/>
  <c r="AW11" i="20"/>
  <c r="AX11" i="20" s="1"/>
  <c r="AW9" i="20"/>
  <c r="AX9" i="20" s="1"/>
  <c r="AW7" i="20"/>
  <c r="AX7" i="20" s="1"/>
  <c r="AB45" i="20"/>
  <c r="AC45" i="20" s="1"/>
  <c r="AD45" i="20" s="1"/>
  <c r="AB32" i="20"/>
  <c r="AC32" i="20" s="1"/>
  <c r="AD32" i="20" s="1"/>
  <c r="AB27" i="20"/>
  <c r="AC27" i="20" s="1"/>
  <c r="AD27" i="20" s="1"/>
  <c r="AB47" i="20"/>
  <c r="AC47" i="20" s="1"/>
  <c r="AB31" i="20"/>
  <c r="AC31" i="20" s="1"/>
  <c r="AD31" i="20" s="1"/>
  <c r="AF60" i="20"/>
  <c r="AB68" i="20"/>
  <c r="AC68" i="20" s="1"/>
  <c r="AD68" i="20" s="1"/>
  <c r="AW15" i="20"/>
  <c r="AX15" i="20" s="1"/>
  <c r="AY15" i="20" s="1"/>
  <c r="AF12" i="20"/>
  <c r="AW17" i="20"/>
  <c r="AX17" i="20" s="1"/>
  <c r="AY17" i="20" s="1"/>
  <c r="AW21" i="20"/>
  <c r="AX21" i="20" s="1"/>
  <c r="AY21" i="20" s="1"/>
  <c r="AF50" i="20"/>
  <c r="AF51" i="20"/>
  <c r="AB48" i="20"/>
  <c r="AC48" i="20" s="1"/>
  <c r="AD48" i="20" s="1"/>
  <c r="AB15" i="20"/>
  <c r="AC15" i="20" s="1"/>
  <c r="AB19" i="20"/>
  <c r="AC19" i="20" s="1"/>
  <c r="AD19" i="20" s="1"/>
  <c r="F13" i="20" l="1"/>
  <c r="F10" i="20"/>
  <c r="F23" i="20"/>
  <c r="F81" i="20"/>
  <c r="F36" i="20"/>
  <c r="F50" i="20"/>
  <c r="F84" i="20"/>
  <c r="F24" i="20"/>
  <c r="F39" i="20"/>
  <c r="F14" i="20"/>
  <c r="F26" i="20"/>
  <c r="F37" i="20"/>
  <c r="F9" i="20"/>
  <c r="F40" i="20"/>
  <c r="E69" i="12" s="1"/>
  <c r="F60" i="20"/>
  <c r="F82" i="20"/>
  <c r="E68" i="9" s="1"/>
  <c r="F11" i="20"/>
  <c r="F25" i="20"/>
  <c r="E68" i="11" s="1"/>
  <c r="F61" i="20"/>
  <c r="F71" i="20"/>
  <c r="F59" i="20"/>
  <c r="E65" i="16" s="1"/>
  <c r="F83" i="20"/>
  <c r="E69" i="9" s="1"/>
  <c r="F49" i="20"/>
  <c r="F72" i="20"/>
  <c r="E71" i="8" s="1"/>
  <c r="F15" i="20"/>
  <c r="C76" i="10"/>
  <c r="C52" i="10" s="1"/>
  <c r="F8" i="20"/>
  <c r="F12" i="20"/>
  <c r="F70" i="20"/>
  <c r="D69" i="10"/>
  <c r="D66" i="11"/>
  <c r="E66" i="11"/>
  <c r="D74" i="10"/>
  <c r="E67" i="12"/>
  <c r="E70" i="9"/>
  <c r="D71" i="10"/>
  <c r="E67" i="11"/>
  <c r="E68" i="12"/>
  <c r="D73" i="10"/>
  <c r="E69" i="11"/>
  <c r="E66" i="12"/>
  <c r="D68" i="10"/>
  <c r="D72" i="10"/>
  <c r="D70" i="10"/>
  <c r="E67" i="16"/>
  <c r="E70" i="8"/>
  <c r="C70" i="13"/>
  <c r="C69" i="16"/>
  <c r="C73" i="9"/>
  <c r="C73" i="8"/>
  <c r="C71" i="12"/>
  <c r="C71" i="11"/>
  <c r="D69" i="12"/>
  <c r="D65" i="16"/>
  <c r="D69" i="8"/>
  <c r="E69" i="8"/>
  <c r="D67" i="11"/>
  <c r="D69" i="11"/>
  <c r="D68" i="13"/>
  <c r="E68" i="13"/>
  <c r="D70" i="8"/>
  <c r="D67" i="12"/>
  <c r="D69" i="9"/>
  <c r="D68" i="11"/>
  <c r="D65" i="12"/>
  <c r="D71" i="8"/>
  <c r="D68" i="12"/>
  <c r="D66" i="16"/>
  <c r="D67" i="9"/>
  <c r="E67" i="9"/>
  <c r="D66" i="12"/>
  <c r="D67" i="16"/>
  <c r="D70" i="9"/>
  <c r="D71" i="9"/>
  <c r="D67" i="10"/>
  <c r="D67" i="13"/>
  <c r="D68" i="9"/>
  <c r="AE8" i="20"/>
  <c r="AH8" i="20" s="1"/>
  <c r="AE7" i="20"/>
  <c r="AH7" i="20" s="1"/>
  <c r="AE39" i="20"/>
  <c r="AH39" i="20" s="1"/>
  <c r="D75" i="20"/>
  <c r="D87" i="20"/>
  <c r="E87" i="20"/>
  <c r="E75" i="20"/>
  <c r="D64" i="20"/>
  <c r="E64" i="20"/>
  <c r="E53" i="20"/>
  <c r="D53" i="20"/>
  <c r="D43" i="20"/>
  <c r="E43" i="20"/>
  <c r="AE40" i="20"/>
  <c r="AH40" i="20" s="1"/>
  <c r="AE46" i="20"/>
  <c r="AH46" i="20" s="1"/>
  <c r="D30" i="20"/>
  <c r="E30" i="20"/>
  <c r="D17" i="20"/>
  <c r="E17" i="20"/>
  <c r="AE6" i="20"/>
  <c r="AH6" i="20" s="1"/>
  <c r="AE9" i="20"/>
  <c r="AH9" i="20" s="1"/>
  <c r="AZ18" i="20"/>
  <c r="BC18" i="20" s="1"/>
  <c r="AD62" i="20"/>
  <c r="AH62" i="20" s="1"/>
  <c r="AE37" i="20"/>
  <c r="AH37" i="20" s="1"/>
  <c r="AE21" i="20"/>
  <c r="AH21" i="20" s="1"/>
  <c r="AE33" i="20"/>
  <c r="AD33" i="20"/>
  <c r="AE26" i="20"/>
  <c r="AH26" i="20" s="1"/>
  <c r="AE25" i="20"/>
  <c r="AH25" i="20" s="1"/>
  <c r="AE55" i="20"/>
  <c r="AH55" i="20" s="1"/>
  <c r="AZ13" i="20"/>
  <c r="BC13" i="20" s="1"/>
  <c r="AD12" i="20"/>
  <c r="AH12" i="20" s="1"/>
  <c r="AE57" i="20"/>
  <c r="AH57" i="20" s="1"/>
  <c r="AE18" i="20"/>
  <c r="AH18" i="20" s="1"/>
  <c r="AE45" i="20"/>
  <c r="AH45" i="20" s="1"/>
  <c r="AE19" i="20"/>
  <c r="AH19" i="20" s="1"/>
  <c r="AZ23" i="20"/>
  <c r="BC23" i="20" s="1"/>
  <c r="AE35" i="20"/>
  <c r="AH35" i="20" s="1"/>
  <c r="AE28" i="20"/>
  <c r="AH28" i="20" s="1"/>
  <c r="AE41" i="20"/>
  <c r="AH41" i="20" s="1"/>
  <c r="AE67" i="20"/>
  <c r="AH67" i="20" s="1"/>
  <c r="AE23" i="20"/>
  <c r="AH23" i="20" s="1"/>
  <c r="AD10" i="20"/>
  <c r="AH10" i="20" s="1"/>
  <c r="AE50" i="20"/>
  <c r="AH50" i="20" s="1"/>
  <c r="AE22" i="20"/>
  <c r="AH22" i="20" s="1"/>
  <c r="AE16" i="20"/>
  <c r="AH16" i="20" s="1"/>
  <c r="AE29" i="20"/>
  <c r="AH29" i="20" s="1"/>
  <c r="AD14" i="20"/>
  <c r="AH14" i="20" s="1"/>
  <c r="AE43" i="20"/>
  <c r="AH43" i="20" s="1"/>
  <c r="AE68" i="20"/>
  <c r="AH68" i="20" s="1"/>
  <c r="AE32" i="20"/>
  <c r="AH32" i="20" s="1"/>
  <c r="AE27" i="20"/>
  <c r="AH27" i="20" s="1"/>
  <c r="AZ21" i="20"/>
  <c r="BC21" i="20" s="1"/>
  <c r="AE38" i="20"/>
  <c r="AD38" i="20"/>
  <c r="AZ20" i="20"/>
  <c r="BC20" i="20" s="1"/>
  <c r="AZ17" i="20"/>
  <c r="BC17" i="20" s="1"/>
  <c r="AD59" i="20"/>
  <c r="AE59" i="20"/>
  <c r="AD42" i="20"/>
  <c r="AE42" i="20"/>
  <c r="AE52" i="20"/>
  <c r="AD52" i="20"/>
  <c r="AE36" i="20"/>
  <c r="AD36" i="20"/>
  <c r="AD30" i="20"/>
  <c r="AE30" i="20"/>
  <c r="AE34" i="20"/>
  <c r="AH34" i="20" s="1"/>
  <c r="AZ15" i="20"/>
  <c r="BC15" i="20" s="1"/>
  <c r="AY12" i="20"/>
  <c r="AZ12" i="20"/>
  <c r="AE61" i="20"/>
  <c r="AD61" i="20"/>
  <c r="AZ6" i="20"/>
  <c r="AY6" i="20"/>
  <c r="AE17" i="20"/>
  <c r="AD17" i="20"/>
  <c r="AE15" i="20"/>
  <c r="AD15" i="20"/>
  <c r="AE66" i="20"/>
  <c r="AD66" i="20"/>
  <c r="AD11" i="20"/>
  <c r="AE11" i="20"/>
  <c r="AE63" i="20"/>
  <c r="AD63" i="20"/>
  <c r="AY8" i="20"/>
  <c r="AZ8" i="20"/>
  <c r="AE47" i="20"/>
  <c r="AD47" i="20"/>
  <c r="AD13" i="20"/>
  <c r="AE13" i="20"/>
  <c r="AZ14" i="20"/>
  <c r="AY14" i="20"/>
  <c r="AZ10" i="20"/>
  <c r="AY10" i="20"/>
  <c r="AD65" i="20"/>
  <c r="AE65" i="20"/>
  <c r="AE48" i="20"/>
  <c r="AH48" i="20" s="1"/>
  <c r="AZ7" i="20"/>
  <c r="AY7" i="20"/>
  <c r="AE24" i="20"/>
  <c r="AH24" i="20" s="1"/>
  <c r="AZ9" i="20"/>
  <c r="AY9" i="20"/>
  <c r="AD49" i="20"/>
  <c r="AE49" i="20"/>
  <c r="AZ16" i="20"/>
  <c r="AY16" i="20"/>
  <c r="AZ19" i="20"/>
  <c r="AY19" i="20"/>
  <c r="AE31" i="20"/>
  <c r="AH31" i="20" s="1"/>
  <c r="AD60" i="20"/>
  <c r="AE60" i="20"/>
  <c r="AZ11" i="20"/>
  <c r="AY11" i="20"/>
  <c r="AD44" i="20"/>
  <c r="AE44" i="20"/>
  <c r="AD54" i="20"/>
  <c r="AE54" i="20"/>
  <c r="AE64" i="20"/>
  <c r="AD64" i="20"/>
  <c r="AE58" i="20"/>
  <c r="AD58" i="20"/>
  <c r="AE51" i="20"/>
  <c r="AD51" i="20"/>
  <c r="AD20" i="20"/>
  <c r="AE20" i="20"/>
  <c r="AD56" i="20"/>
  <c r="AE56" i="20"/>
  <c r="AZ22" i="20"/>
  <c r="AY22" i="20"/>
  <c r="AD53" i="20"/>
  <c r="AE53" i="20"/>
  <c r="D76" i="10" l="1"/>
  <c r="C22" i="10" s="1"/>
  <c r="F22" i="10" s="1"/>
  <c r="BC9" i="20"/>
  <c r="AH38" i="20"/>
  <c r="C24" i="11"/>
  <c r="C24" i="12"/>
  <c r="C24" i="9"/>
  <c r="C25" i="16"/>
  <c r="C26" i="8"/>
  <c r="C24" i="10"/>
  <c r="F24" i="10" s="1"/>
  <c r="C26" i="13"/>
  <c r="D71" i="12"/>
  <c r="C22" i="12" s="1"/>
  <c r="F22" i="12" s="1"/>
  <c r="D73" i="8"/>
  <c r="C24" i="8" s="1"/>
  <c r="F24" i="8" s="1"/>
  <c r="D73" i="9"/>
  <c r="C22" i="9" s="1"/>
  <c r="F22" i="9" s="1"/>
  <c r="D69" i="16"/>
  <c r="C23" i="16" s="1"/>
  <c r="F23" i="16" s="1"/>
  <c r="D70" i="13"/>
  <c r="C24" i="13" s="1"/>
  <c r="F24" i="13" s="1"/>
  <c r="E73" i="8"/>
  <c r="E71" i="11"/>
  <c r="D71" i="11"/>
  <c r="C22" i="11" s="1"/>
  <c r="F22" i="11" s="1"/>
  <c r="BC22" i="20"/>
  <c r="BC14" i="20"/>
  <c r="AH66" i="20"/>
  <c r="E69" i="10"/>
  <c r="G11" i="20"/>
  <c r="I11" i="20" s="1"/>
  <c r="E72" i="10"/>
  <c r="F30" i="20"/>
  <c r="E70" i="10"/>
  <c r="E68" i="10"/>
  <c r="E67" i="10"/>
  <c r="G24" i="20"/>
  <c r="I24" i="20" s="1"/>
  <c r="G13" i="20"/>
  <c r="I13" i="20" s="1"/>
  <c r="E74" i="10"/>
  <c r="E73" i="10"/>
  <c r="AH56" i="20"/>
  <c r="G84" i="20" s="1"/>
  <c r="I84" i="20" s="1"/>
  <c r="E71" i="10"/>
  <c r="BC19" i="20"/>
  <c r="AH63" i="20"/>
  <c r="AH61" i="20"/>
  <c r="G61" i="20"/>
  <c r="I61" i="20" s="1"/>
  <c r="G72" i="20"/>
  <c r="I72" i="20" s="1"/>
  <c r="E65" i="12"/>
  <c r="E71" i="12" s="1"/>
  <c r="G14" i="20"/>
  <c r="I14" i="20" s="1"/>
  <c r="AH44" i="20"/>
  <c r="BC16" i="20"/>
  <c r="BC10" i="20"/>
  <c r="G26" i="20" s="1"/>
  <c r="I26" i="20" s="1"/>
  <c r="G15" i="20"/>
  <c r="I15" i="20" s="1"/>
  <c r="G8" i="20"/>
  <c r="I8" i="20" s="1"/>
  <c r="E66" i="16"/>
  <c r="E69" i="16" s="1"/>
  <c r="E71" i="9"/>
  <c r="E73" i="9" s="1"/>
  <c r="BC11" i="20"/>
  <c r="G82" i="20" s="1"/>
  <c r="I82" i="20" s="1"/>
  <c r="BC7" i="20"/>
  <c r="BC6" i="20"/>
  <c r="AH52" i="20"/>
  <c r="AH33" i="20"/>
  <c r="AH64" i="20"/>
  <c r="AH15" i="20"/>
  <c r="G85" i="20" s="1"/>
  <c r="I85" i="20" s="1"/>
  <c r="AH13" i="20"/>
  <c r="G9" i="20" s="1"/>
  <c r="I9" i="20" s="1"/>
  <c r="AH30" i="20"/>
  <c r="AH20" i="20"/>
  <c r="AH47" i="20"/>
  <c r="AH17" i="20"/>
  <c r="AH36" i="20"/>
  <c r="AH58" i="20"/>
  <c r="BC8" i="20"/>
  <c r="G38" i="20" s="1"/>
  <c r="I38" i="20" s="1"/>
  <c r="AH51" i="20"/>
  <c r="AH42" i="20"/>
  <c r="AH59" i="20"/>
  <c r="AH65" i="20"/>
  <c r="AH53" i="20"/>
  <c r="AH11" i="20"/>
  <c r="AH60" i="20"/>
  <c r="BC12" i="20"/>
  <c r="AH54" i="20"/>
  <c r="AH49" i="20"/>
  <c r="E67" i="13"/>
  <c r="E70" i="13" s="1"/>
  <c r="F87" i="20"/>
  <c r="F75" i="20"/>
  <c r="F64" i="20"/>
  <c r="F53" i="20"/>
  <c r="F43" i="20"/>
  <c r="F17" i="20"/>
  <c r="E76" i="10" l="1"/>
  <c r="F23" i="10" s="1"/>
  <c r="F25" i="8"/>
  <c r="G40" i="20"/>
  <c r="I40" i="20" s="1"/>
  <c r="G83" i="20"/>
  <c r="I83" i="20" s="1"/>
  <c r="G10" i="20"/>
  <c r="I10" i="20" s="1"/>
  <c r="H69" i="10" s="1"/>
  <c r="G37" i="20"/>
  <c r="I37" i="20" s="1"/>
  <c r="G71" i="20"/>
  <c r="I71" i="20" s="1"/>
  <c r="G25" i="20"/>
  <c r="I25" i="20" s="1"/>
  <c r="G60" i="20"/>
  <c r="I60" i="20" s="1"/>
  <c r="G39" i="20"/>
  <c r="I39" i="20" s="1"/>
  <c r="F24" i="9"/>
  <c r="C53" i="9"/>
  <c r="F26" i="13"/>
  <c r="C53" i="13"/>
  <c r="F25" i="16"/>
  <c r="C51" i="16"/>
  <c r="F26" i="8"/>
  <c r="C53" i="8"/>
  <c r="F24" i="12"/>
  <c r="C51" i="12"/>
  <c r="F24" i="11"/>
  <c r="C51" i="11"/>
  <c r="G81" i="20"/>
  <c r="I81" i="20" s="1"/>
  <c r="G12" i="20"/>
  <c r="I12" i="20" s="1"/>
  <c r="G23" i="20"/>
  <c r="F66" i="11" s="1"/>
  <c r="G36" i="20"/>
  <c r="I36" i="20" s="1"/>
  <c r="G70" i="20"/>
  <c r="I70" i="20" s="1"/>
  <c r="G59" i="20"/>
  <c r="I59" i="20" s="1"/>
  <c r="G50" i="20"/>
  <c r="I50" i="20" s="1"/>
  <c r="G49" i="20"/>
  <c r="I49" i="20" s="1"/>
  <c r="H67" i="13" s="1"/>
  <c r="F71" i="8"/>
  <c r="F69" i="11"/>
  <c r="F67" i="10"/>
  <c r="H70" i="10"/>
  <c r="H74" i="10"/>
  <c r="H72" i="10"/>
  <c r="E7" i="13"/>
  <c r="D7" i="13"/>
  <c r="F70" i="8" l="1"/>
  <c r="H59" i="13"/>
  <c r="F67" i="13"/>
  <c r="G30" i="20"/>
  <c r="I23" i="20"/>
  <c r="H66" i="11" s="1"/>
  <c r="F67" i="9"/>
  <c r="H67" i="9"/>
  <c r="F71" i="9"/>
  <c r="H71" i="9"/>
  <c r="H71" i="8"/>
  <c r="H69" i="8"/>
  <c r="H70" i="8"/>
  <c r="H70" i="9"/>
  <c r="F70" i="9"/>
  <c r="H68" i="9"/>
  <c r="F68" i="9"/>
  <c r="H69" i="9"/>
  <c r="F69" i="9"/>
  <c r="F67" i="12"/>
  <c r="F66" i="16"/>
  <c r="H66" i="16"/>
  <c r="H65" i="16"/>
  <c r="F67" i="16"/>
  <c r="H67" i="16"/>
  <c r="F65" i="12"/>
  <c r="F68" i="13"/>
  <c r="H68" i="13"/>
  <c r="H70" i="13" s="1"/>
  <c r="F68" i="11"/>
  <c r="H67" i="12"/>
  <c r="H66" i="12"/>
  <c r="F66" i="12"/>
  <c r="F68" i="12"/>
  <c r="H68" i="12"/>
  <c r="F69" i="12"/>
  <c r="H69" i="12"/>
  <c r="H65" i="12"/>
  <c r="F73" i="10"/>
  <c r="H71" i="10"/>
  <c r="F67" i="11"/>
  <c r="H67" i="11"/>
  <c r="H68" i="10"/>
  <c r="H68" i="11"/>
  <c r="H67" i="10"/>
  <c r="H73" i="10"/>
  <c r="H69" i="11"/>
  <c r="F72" i="10"/>
  <c r="F70" i="10"/>
  <c r="F74" i="10"/>
  <c r="F69" i="10"/>
  <c r="F71" i="10"/>
  <c r="F68" i="10"/>
  <c r="F76" i="10" s="1"/>
  <c r="H71" i="12" l="1"/>
  <c r="F71" i="12"/>
  <c r="H61" i="13"/>
  <c r="F73" i="9"/>
  <c r="F31" i="9" s="1"/>
  <c r="F31" i="10"/>
  <c r="H73" i="8"/>
  <c r="H73" i="9"/>
  <c r="H69" i="16"/>
  <c r="F70" i="13"/>
  <c r="F33" i="13" s="1"/>
  <c r="F31" i="12"/>
  <c r="F71" i="11"/>
  <c r="F31" i="11" s="1"/>
  <c r="G75" i="20"/>
  <c r="F69" i="8"/>
  <c r="F73" i="8" s="1"/>
  <c r="G64" i="20"/>
  <c r="F65" i="16"/>
  <c r="F69" i="16" s="1"/>
  <c r="F32" i="16" s="1"/>
  <c r="H71" i="11"/>
  <c r="I75" i="20"/>
  <c r="I87" i="20"/>
  <c r="G87" i="20"/>
  <c r="G53" i="20"/>
  <c r="I64" i="20"/>
  <c r="I53" i="20"/>
  <c r="I43" i="20"/>
  <c r="G43" i="20"/>
  <c r="H76" i="10"/>
  <c r="I17" i="20"/>
  <c r="I30" i="20"/>
  <c r="G17" i="20"/>
  <c r="F20" i="8"/>
  <c r="F19" i="16"/>
  <c r="C14" i="13"/>
  <c r="C48" i="13" s="1"/>
  <c r="C13" i="13"/>
  <c r="C47" i="13" s="1"/>
  <c r="D14" i="13"/>
  <c r="H48" i="13" s="1"/>
  <c r="D13" i="13"/>
  <c r="H47" i="13" s="1"/>
  <c r="D14" i="9"/>
  <c r="F20" i="13"/>
  <c r="F18" i="12"/>
  <c r="F18" i="11"/>
  <c r="F18" i="10"/>
  <c r="F18" i="9"/>
  <c r="D9" i="8"/>
  <c r="C48" i="8" s="1"/>
  <c r="D8" i="8"/>
  <c r="C47" i="8" s="1"/>
  <c r="D8" i="16"/>
  <c r="C46" i="16" s="1"/>
  <c r="H52" i="16"/>
  <c r="H51" i="16"/>
  <c r="F24" i="16" s="1"/>
  <c r="H54" i="13"/>
  <c r="H53" i="13"/>
  <c r="F25" i="13" s="1"/>
  <c r="H46" i="13"/>
  <c r="C46" i="13"/>
  <c r="H54" i="9"/>
  <c r="H53" i="9"/>
  <c r="F23" i="9" s="1"/>
  <c r="C12" i="9"/>
  <c r="H52" i="12"/>
  <c r="H51" i="12"/>
  <c r="F23" i="12" s="1"/>
  <c r="H50" i="12"/>
  <c r="H52" i="11"/>
  <c r="H51" i="11"/>
  <c r="F23" i="11" s="1"/>
  <c r="G53" i="10"/>
  <c r="G52" i="10"/>
  <c r="F23" i="13" l="1"/>
  <c r="H72" i="13"/>
  <c r="G62" i="8"/>
  <c r="H62" i="8" s="1"/>
  <c r="F33" i="8"/>
  <c r="D19" i="8"/>
  <c r="H52" i="8" s="1"/>
  <c r="D18" i="8"/>
  <c r="H51" i="8" s="1"/>
  <c r="D17" i="8"/>
  <c r="H50" i="8" s="1"/>
  <c r="D16" i="8"/>
  <c r="H49" i="8" s="1"/>
  <c r="D18" i="16"/>
  <c r="H50" i="16" s="1"/>
  <c r="D17" i="16"/>
  <c r="H49" i="16" s="1"/>
  <c r="D16" i="16"/>
  <c r="H48" i="16" s="1"/>
  <c r="D15" i="16"/>
  <c r="H47" i="16" s="1"/>
  <c r="D19" i="13"/>
  <c r="H52" i="13" s="1"/>
  <c r="D18" i="13"/>
  <c r="H51" i="13" s="1"/>
  <c r="D17" i="13"/>
  <c r="H50" i="13" s="1"/>
  <c r="D16" i="13"/>
  <c r="H49" i="13" s="1"/>
  <c r="H49" i="9"/>
  <c r="D17" i="9"/>
  <c r="H52" i="9" s="1"/>
  <c r="D16" i="9"/>
  <c r="H51" i="9" s="1"/>
  <c r="D15" i="9"/>
  <c r="H50" i="9" s="1"/>
  <c r="D16" i="12"/>
  <c r="H49" i="12" s="1"/>
  <c r="D15" i="12"/>
  <c r="H48" i="12" s="1"/>
  <c r="D14" i="12"/>
  <c r="D16" i="11"/>
  <c r="H49" i="11" s="1"/>
  <c r="D15" i="11"/>
  <c r="H48" i="11" s="1"/>
  <c r="D14" i="11"/>
  <c r="D17" i="10"/>
  <c r="G51" i="10" s="1"/>
  <c r="D16" i="10"/>
  <c r="G50" i="10" s="1"/>
  <c r="D15" i="10"/>
  <c r="G49" i="10" s="1"/>
  <c r="D14" i="10"/>
  <c r="D28" i="8"/>
  <c r="D27" i="16"/>
  <c r="D28" i="13"/>
  <c r="D26" i="9"/>
  <c r="D26" i="12"/>
  <c r="D26" i="11"/>
  <c r="D26" i="10"/>
  <c r="C12" i="10"/>
  <c r="C48" i="10" s="1"/>
  <c r="F34" i="8" l="1"/>
  <c r="F32" i="8"/>
  <c r="C19" i="8"/>
  <c r="C52" i="8" s="1"/>
  <c r="C18" i="8"/>
  <c r="C51" i="8" s="1"/>
  <c r="C17" i="8"/>
  <c r="C50" i="8" s="1"/>
  <c r="C16" i="8"/>
  <c r="C49" i="8" s="1"/>
  <c r="E9" i="8"/>
  <c r="H48" i="8" s="1"/>
  <c r="E8" i="8"/>
  <c r="H47" i="8" s="1"/>
  <c r="E7" i="8"/>
  <c r="H46" i="8" s="1"/>
  <c r="D7" i="8"/>
  <c r="F33" i="16"/>
  <c r="F31" i="16"/>
  <c r="F34" i="13"/>
  <c r="F32" i="13"/>
  <c r="F32" i="9"/>
  <c r="F30" i="9"/>
  <c r="F32" i="12"/>
  <c r="F30" i="12"/>
  <c r="F32" i="11"/>
  <c r="F30" i="11"/>
  <c r="F32" i="10"/>
  <c r="F30" i="10"/>
  <c r="C18" i="16"/>
  <c r="C50" i="16" s="1"/>
  <c r="C17" i="16"/>
  <c r="C49" i="16" s="1"/>
  <c r="C16" i="16"/>
  <c r="C48" i="16" s="1"/>
  <c r="C15" i="16"/>
  <c r="C47" i="16" s="1"/>
  <c r="C19" i="13"/>
  <c r="C52" i="13" s="1"/>
  <c r="C18" i="13"/>
  <c r="C51" i="13" s="1"/>
  <c r="C17" i="13"/>
  <c r="C50" i="13" s="1"/>
  <c r="C16" i="13"/>
  <c r="C49" i="13" s="1"/>
  <c r="E8" i="16"/>
  <c r="E7" i="16"/>
  <c r="H45" i="16" s="1"/>
  <c r="D7" i="16"/>
  <c r="G58" i="16" s="1"/>
  <c r="C17" i="9"/>
  <c r="C52" i="9" s="1"/>
  <c r="C16" i="9"/>
  <c r="C51" i="9" s="1"/>
  <c r="C15" i="9"/>
  <c r="C50" i="9" s="1"/>
  <c r="C14" i="9"/>
  <c r="C49" i="9" s="1"/>
  <c r="E7" i="9"/>
  <c r="H47" i="9" s="1"/>
  <c r="D7" i="9"/>
  <c r="G60" i="9" s="1"/>
  <c r="H60" i="9" s="1"/>
  <c r="D12" i="9"/>
  <c r="C17" i="12"/>
  <c r="C16" i="12"/>
  <c r="C15" i="12"/>
  <c r="C48" i="12" s="1"/>
  <c r="E7" i="12"/>
  <c r="H47" i="12" s="1"/>
  <c r="D7" i="12"/>
  <c r="G58" i="12" s="1"/>
  <c r="H58" i="12" s="1"/>
  <c r="C17" i="11"/>
  <c r="C50" i="11" s="1"/>
  <c r="C16" i="11"/>
  <c r="C49" i="11" s="1"/>
  <c r="D17" i="11"/>
  <c r="H50" i="11" s="1"/>
  <c r="C15" i="11"/>
  <c r="C48" i="11" s="1"/>
  <c r="E7" i="11"/>
  <c r="H47" i="11" s="1"/>
  <c r="D7" i="11"/>
  <c r="C17" i="10"/>
  <c r="C51" i="10" s="1"/>
  <c r="C16" i="10"/>
  <c r="C50" i="10" s="1"/>
  <c r="C15" i="10"/>
  <c r="C49" i="10" s="1"/>
  <c r="D12" i="10"/>
  <c r="G48" i="10" s="1"/>
  <c r="E7" i="10"/>
  <c r="G47" i="10" s="1"/>
  <c r="D7" i="10"/>
  <c r="F9" i="16"/>
  <c r="E14" i="13"/>
  <c r="E13" i="13"/>
  <c r="F8" i="13"/>
  <c r="F7" i="13"/>
  <c r="E14" i="12"/>
  <c r="F12" i="12"/>
  <c r="F8" i="12"/>
  <c r="E14" i="11"/>
  <c r="F12" i="11"/>
  <c r="F8" i="11"/>
  <c r="E14" i="10"/>
  <c r="F8" i="10"/>
  <c r="F8" i="9"/>
  <c r="G60" i="10" l="1"/>
  <c r="H60" i="10" s="1"/>
  <c r="G59" i="10"/>
  <c r="H59" i="10" s="1"/>
  <c r="H61" i="10" s="1"/>
  <c r="G61" i="8"/>
  <c r="H61" i="8" s="1"/>
  <c r="C46" i="8"/>
  <c r="G59" i="11"/>
  <c r="H59" i="11" s="1"/>
  <c r="G58" i="11"/>
  <c r="H58" i="11" s="1"/>
  <c r="H59" i="8"/>
  <c r="C45" i="16"/>
  <c r="H58" i="16"/>
  <c r="H57" i="16"/>
  <c r="C47" i="9"/>
  <c r="H61" i="9"/>
  <c r="C47" i="12"/>
  <c r="H59" i="12"/>
  <c r="C47" i="11"/>
  <c r="C47" i="10"/>
  <c r="F8" i="16"/>
  <c r="H46" i="16"/>
  <c r="E16" i="12"/>
  <c r="C49" i="12"/>
  <c r="E17" i="12"/>
  <c r="C50" i="12"/>
  <c r="H48" i="9"/>
  <c r="F12" i="9"/>
  <c r="E15" i="11"/>
  <c r="E16" i="9"/>
  <c r="F7" i="12"/>
  <c r="F9" i="12" s="1"/>
  <c r="F7" i="16"/>
  <c r="F33" i="10"/>
  <c r="F41" i="10" s="1"/>
  <c r="F7" i="11"/>
  <c r="F9" i="11" s="1"/>
  <c r="F34" i="16"/>
  <c r="F35" i="13"/>
  <c r="F33" i="9"/>
  <c r="F41" i="9" s="1"/>
  <c r="F33" i="12"/>
  <c r="F41" i="12" s="1"/>
  <c r="E15" i="12"/>
  <c r="F33" i="11"/>
  <c r="F41" i="11" s="1"/>
  <c r="E19" i="13"/>
  <c r="E18" i="13"/>
  <c r="E17" i="13"/>
  <c r="E16" i="13"/>
  <c r="E17" i="16"/>
  <c r="E15" i="9"/>
  <c r="E18" i="16"/>
  <c r="E16" i="16"/>
  <c r="E15" i="16"/>
  <c r="E17" i="9"/>
  <c r="E14" i="9"/>
  <c r="F7" i="9"/>
  <c r="F9" i="9" s="1"/>
  <c r="E16" i="11"/>
  <c r="E17" i="11"/>
  <c r="E15" i="10"/>
  <c r="E17" i="10"/>
  <c r="E16" i="10"/>
  <c r="F12" i="10"/>
  <c r="F7" i="10"/>
  <c r="F9" i="10" s="1"/>
  <c r="F12" i="13"/>
  <c r="F9" i="13"/>
  <c r="F9" i="8"/>
  <c r="F10" i="8"/>
  <c r="F35" i="8"/>
  <c r="E19" i="8"/>
  <c r="E18" i="8"/>
  <c r="E17" i="8"/>
  <c r="E16" i="8"/>
  <c r="F8" i="8"/>
  <c r="F7" i="8"/>
  <c r="F21" i="9" l="1"/>
  <c r="H75" i="9"/>
  <c r="F21" i="10"/>
  <c r="F21" i="12"/>
  <c r="H73" i="12"/>
  <c r="H60" i="11"/>
  <c r="H63" i="8"/>
  <c r="F23" i="8" s="1"/>
  <c r="H59" i="16"/>
  <c r="F10" i="16"/>
  <c r="F13" i="12"/>
  <c r="C26" i="12" s="1"/>
  <c r="F26" i="12" s="1"/>
  <c r="F27" i="12" s="1"/>
  <c r="F40" i="12" s="1"/>
  <c r="F15" i="8"/>
  <c r="F15" i="13"/>
  <c r="C28" i="13" s="1"/>
  <c r="F28" i="13" s="1"/>
  <c r="F29" i="13" s="1"/>
  <c r="F37" i="13" s="1"/>
  <c r="F40" i="13" s="1"/>
  <c r="F14" i="16"/>
  <c r="F13" i="9"/>
  <c r="C26" i="9" s="1"/>
  <c r="F26" i="9" s="1"/>
  <c r="F27" i="9" s="1"/>
  <c r="F37" i="9" s="1"/>
  <c r="F13" i="11"/>
  <c r="F13" i="10"/>
  <c r="F11" i="8"/>
  <c r="C26" i="10" l="1"/>
  <c r="F26" i="10" s="1"/>
  <c r="F22" i="16"/>
  <c r="H71" i="16"/>
  <c r="F21" i="11"/>
  <c r="H73" i="11"/>
  <c r="C27" i="16"/>
  <c r="F27" i="16" s="1"/>
  <c r="F28" i="16" s="1"/>
  <c r="F36" i="16" s="1"/>
  <c r="F39" i="16" s="1"/>
  <c r="C26" i="11"/>
  <c r="F26" i="11" s="1"/>
  <c r="C28" i="8"/>
  <c r="F28" i="8" s="1"/>
  <c r="F29" i="8" s="1"/>
  <c r="F39" i="8" s="1"/>
  <c r="F27" i="10"/>
  <c r="F39" i="13"/>
  <c r="F37" i="12"/>
  <c r="F35" i="12"/>
  <c r="F38" i="12" s="1"/>
  <c r="F40" i="9"/>
  <c r="F35" i="9"/>
  <c r="F42" i="9" s="1"/>
  <c r="F37" i="10" l="1"/>
  <c r="F35" i="10"/>
  <c r="F42" i="10" s="1"/>
  <c r="F38" i="16"/>
  <c r="F27" i="11"/>
  <c r="F37" i="8"/>
  <c r="F40" i="8" s="1"/>
  <c r="F40" i="10"/>
  <c r="F42" i="12"/>
  <c r="F38" i="9"/>
  <c r="F40" i="11" l="1"/>
  <c r="F35" i="11"/>
  <c r="F37" i="11"/>
  <c r="F38" i="10"/>
  <c r="F42" i="11" l="1"/>
  <c r="F38" i="11"/>
</calcChain>
</file>

<file path=xl/sharedStrings.xml><?xml version="1.0" encoding="utf-8"?>
<sst xmlns="http://schemas.openxmlformats.org/spreadsheetml/2006/main" count="3626" uniqueCount="814">
  <si>
    <t>Missouri Forage Budgets</t>
  </si>
  <si>
    <t>Developed by:</t>
  </si>
  <si>
    <t>University of Missouri Extension</t>
  </si>
  <si>
    <t xml:space="preserve">Instructions: The Input tab allows the user to enter values that go to each sheet (such as price of fertilizer) and some values used for specific crops (such as yield per acre). The output sheets contain both calculations from the input sheet and grey cells for estimates that can be changed according to your farm's records. </t>
  </si>
  <si>
    <t>This worksheet is for educational purposes only and the user assumes all risks associated with its use.</t>
  </si>
  <si>
    <t>Input Assumptions</t>
  </si>
  <si>
    <t>Alfalfa</t>
  </si>
  <si>
    <t>Corn Silage</t>
  </si>
  <si>
    <t>Pasture Establishment</t>
  </si>
  <si>
    <t>Mixed Hay</t>
  </si>
  <si>
    <t>Fescue Seed and Forage</t>
  </si>
  <si>
    <t>Income Factors</t>
  </si>
  <si>
    <t>Units</t>
  </si>
  <si>
    <t>All Budgets</t>
  </si>
  <si>
    <t>Establishment</t>
  </si>
  <si>
    <t>Baleage</t>
  </si>
  <si>
    <t>Small Squares</t>
  </si>
  <si>
    <t>Yield</t>
  </si>
  <si>
    <t>Seed yield</t>
  </si>
  <si>
    <t>Seeding rate</t>
  </si>
  <si>
    <t>n/a</t>
  </si>
  <si>
    <t>Phosphorous</t>
  </si>
  <si>
    <t>Potassium</t>
  </si>
  <si>
    <t>Lime</t>
  </si>
  <si>
    <t>Operating interest</t>
  </si>
  <si>
    <t xml:space="preserve">Nitrogen </t>
  </si>
  <si>
    <t>-</t>
  </si>
  <si>
    <t>Ownership Costs</t>
  </si>
  <si>
    <t>Farm business overhead</t>
  </si>
  <si>
    <t>Would you like to see the quantities and prices used to calculate costs?</t>
  </si>
  <si>
    <t/>
  </si>
  <si>
    <t>Price</t>
  </si>
  <si>
    <t>Quantity</t>
  </si>
  <si>
    <t>Seed</t>
  </si>
  <si>
    <t>Fertilizer</t>
  </si>
  <si>
    <t>Nitrogen</t>
  </si>
  <si>
    <t>Phosphorus</t>
  </si>
  <si>
    <t>Other soil amendments</t>
  </si>
  <si>
    <t>Crop protection</t>
  </si>
  <si>
    <t>Crop consulting and insurance</t>
  </si>
  <si>
    <t>Custom hire and rental</t>
  </si>
  <si>
    <t>Machinery repairs and maintenance</t>
  </si>
  <si>
    <t>Operator and hired labor</t>
  </si>
  <si>
    <t>Other expense</t>
  </si>
  <si>
    <t>Real estate charge</t>
  </si>
  <si>
    <t>Operating cost per bale</t>
  </si>
  <si>
    <t>Ownership cost per bale</t>
  </si>
  <si>
    <t>Total cost per bale</t>
  </si>
  <si>
    <t>Start</t>
  </si>
  <si>
    <t>cropnum-22706</t>
  </si>
  <si>
    <t>primyieldtype-22706</t>
  </si>
  <si>
    <t>byyieldtype-22706</t>
  </si>
  <si>
    <t>irrigation2-22706</t>
  </si>
  <si>
    <t>leasenum-22706</t>
  </si>
  <si>
    <t>40hp-22706</t>
  </si>
  <si>
    <t>60hp-22706</t>
  </si>
  <si>
    <t>75hp-22706</t>
  </si>
  <si>
    <t>105twd-22706</t>
  </si>
  <si>
    <t>140twd-22706</t>
  </si>
  <si>
    <t>105mfwd-22706</t>
  </si>
  <si>
    <t>130mfwd-22706</t>
  </si>
  <si>
    <t>160mfwd-22706</t>
  </si>
  <si>
    <t>200mfwd-22706</t>
  </si>
  <si>
    <t>225mfwd-22706</t>
  </si>
  <si>
    <t>2604wd-22706</t>
  </si>
  <si>
    <t>3104wd-22706</t>
  </si>
  <si>
    <t>360 4wd-22706</t>
  </si>
  <si>
    <t>4254wd-22706</t>
  </si>
  <si>
    <t>225tt-22706</t>
  </si>
  <si>
    <t>425tt-22706</t>
  </si>
  <si>
    <t>description-1-22706</t>
  </si>
  <si>
    <t>2015 SRW</t>
  </si>
  <si>
    <t>acres-1-22706</t>
  </si>
  <si>
    <t>receipts-1-22706</t>
  </si>
  <si>
    <t>receipts-2-22706</t>
  </si>
  <si>
    <t>receipts-3-22706</t>
  </si>
  <si>
    <t>receipts-4-22706</t>
  </si>
  <si>
    <t>receipts-5-22706</t>
  </si>
  <si>
    <t>receipts-6-22706</t>
  </si>
  <si>
    <t>seed1-1-22706</t>
  </si>
  <si>
    <t>seed1-2-22706</t>
  </si>
  <si>
    <t>seed1-3-22706</t>
  </si>
  <si>
    <t>seed1-4-22706</t>
  </si>
  <si>
    <t>seed1-5-22706</t>
  </si>
  <si>
    <t>seed1-6-22706</t>
  </si>
  <si>
    <t>seed2-1-22706</t>
  </si>
  <si>
    <t>seed2-2-22706</t>
  </si>
  <si>
    <t>seed2-3-22706</t>
  </si>
  <si>
    <t>seed2-4-22706</t>
  </si>
  <si>
    <t>seed2-5-22706</t>
  </si>
  <si>
    <t>seed2-6-22706</t>
  </si>
  <si>
    <t>fertilizer1-1-22706</t>
  </si>
  <si>
    <t>fertilizer1-2-22706</t>
  </si>
  <si>
    <t>fertilizer1-3-22706</t>
  </si>
  <si>
    <t>fertilizer1-4-22706</t>
  </si>
  <si>
    <t>fertilizer1-5-22706</t>
  </si>
  <si>
    <t>fertilizer1-6-22706</t>
  </si>
  <si>
    <t>fertilizer1-7-22706</t>
  </si>
  <si>
    <t>fertilizer1-8-22706</t>
  </si>
  <si>
    <t>fertilizer2-1-22706</t>
  </si>
  <si>
    <t>fertilizer2-2-22706</t>
  </si>
  <si>
    <t>fertilizer2-3-22706</t>
  </si>
  <si>
    <t>fertilizer2-4-22706</t>
  </si>
  <si>
    <t>fertilizer2-5-22706</t>
  </si>
  <si>
    <t>fertilizer2-6-22706</t>
  </si>
  <si>
    <t>fertilizer2-7-22706</t>
  </si>
  <si>
    <t>fertilizer2-8-22706</t>
  </si>
  <si>
    <t>herbicide1-1-22706</t>
  </si>
  <si>
    <t>herbicide1-2-22706</t>
  </si>
  <si>
    <t>herbicide1-3-22706</t>
  </si>
  <si>
    <t>herbicide1-4-22706</t>
  </si>
  <si>
    <t>herbicide1-5-22706</t>
  </si>
  <si>
    <t>herbicide1-6-22706</t>
  </si>
  <si>
    <t>herbicide1-7-22706</t>
  </si>
  <si>
    <t>herbicide1-8-22706</t>
  </si>
  <si>
    <t>herbicide2-1-22706</t>
  </si>
  <si>
    <t>herbicide2-2-22706</t>
  </si>
  <si>
    <t>herbicide2-3-22706</t>
  </si>
  <si>
    <t>herbicide2-4-22706</t>
  </si>
  <si>
    <t>herbicide2-5-22706</t>
  </si>
  <si>
    <t>herbicide2-6-22706</t>
  </si>
  <si>
    <t>herbicide2-7-22706</t>
  </si>
  <si>
    <t>herbicide2-8-22706</t>
  </si>
  <si>
    <t>herbicide2-9-22706</t>
  </si>
  <si>
    <t>insecticide1-1-22706</t>
  </si>
  <si>
    <t>insecticide1-2-22706</t>
  </si>
  <si>
    <t>insecticide1-3-22706</t>
  </si>
  <si>
    <t>insecticide1-4-22706</t>
  </si>
  <si>
    <t>insecticide2-1-22706</t>
  </si>
  <si>
    <t>insecticide2-2-22706</t>
  </si>
  <si>
    <t>insecticide2-3-22706</t>
  </si>
  <si>
    <t>insecticide2-4-22706</t>
  </si>
  <si>
    <t>insecticide2-5-22706</t>
  </si>
  <si>
    <t>labor-1-22706</t>
  </si>
  <si>
    <t>labor-2-22706</t>
  </si>
  <si>
    <t>labor-3-22706</t>
  </si>
  <si>
    <t>irrigation1-1-22706</t>
  </si>
  <si>
    <t>irrigation1-2-22706</t>
  </si>
  <si>
    <t>irrigation1-3-22706</t>
  </si>
  <si>
    <t>land-1-22706</t>
  </si>
  <si>
    <t>land-2-22706</t>
  </si>
  <si>
    <t>land-3-22706</t>
  </si>
  <si>
    <t>land-3-9106</t>
  </si>
  <si>
    <t>land-4-22706</t>
  </si>
  <si>
    <t>otheritems1-1-22706</t>
  </si>
  <si>
    <t>otheritems1-2-22706</t>
  </si>
  <si>
    <t>otheritems1-3-22706</t>
  </si>
  <si>
    <t>otheritems1-4-22706</t>
  </si>
  <si>
    <t>otheritems1-5-22706</t>
  </si>
  <si>
    <t>otheritems1-6-22706</t>
  </si>
  <si>
    <t>otheritems1-7-22706</t>
  </si>
  <si>
    <t>postharvest-1-22706</t>
  </si>
  <si>
    <t>postharvest-2-22706</t>
  </si>
  <si>
    <t>postharvest-3-22706</t>
  </si>
  <si>
    <t>postharvest-4-22706</t>
  </si>
  <si>
    <t>postharvest-5-22706</t>
  </si>
  <si>
    <t>postharvest-6-22706</t>
  </si>
  <si>
    <t>postharvest-7-22706</t>
  </si>
  <si>
    <t>postharvest-8-22706</t>
  </si>
  <si>
    <t>postharvest-9-22706</t>
  </si>
  <si>
    <t>postharvest-10-22706</t>
  </si>
  <si>
    <t>overhead-1-22706</t>
  </si>
  <si>
    <t>overhead-2-22706</t>
  </si>
  <si>
    <t>overhead-3-22706</t>
  </si>
  <si>
    <t>overhead-4-22706</t>
  </si>
  <si>
    <t>overhead-5-22706</t>
  </si>
  <si>
    <t>overhead-6-22706</t>
  </si>
  <si>
    <t>landlord_share-1-22706</t>
  </si>
  <si>
    <t>landlord_share-2-22706</t>
  </si>
  <si>
    <t>landlord_share-3-22706</t>
  </si>
  <si>
    <t>landlord_share-4-22706</t>
  </si>
  <si>
    <t>landlord_share-5-22706</t>
  </si>
  <si>
    <t>landlord_share-6-22706</t>
  </si>
  <si>
    <t>landlord_share-7-22706</t>
  </si>
  <si>
    <t>landlord_share-8-22706</t>
  </si>
  <si>
    <t>landlord_share-9-22706</t>
  </si>
  <si>
    <t>landlord_share-10-22706</t>
  </si>
  <si>
    <t>landlord_share-11-22706</t>
  </si>
  <si>
    <t>customhire1-1-22706</t>
  </si>
  <si>
    <t>customhire1-2-22706</t>
  </si>
  <si>
    <t>customhire1-3-22706</t>
  </si>
  <si>
    <t>customhire1-4-22706</t>
  </si>
  <si>
    <t>customhire1-5-22706</t>
  </si>
  <si>
    <t>customhire1-6-22706</t>
  </si>
  <si>
    <t>customhire1-7-22706</t>
  </si>
  <si>
    <t>customhire1-8-22706</t>
  </si>
  <si>
    <t>customhire1-9-22706</t>
  </si>
  <si>
    <t>customhire1-10-22706</t>
  </si>
  <si>
    <t>customhire1-11-22706</t>
  </si>
  <si>
    <t>customhire1-12-22706</t>
  </si>
  <si>
    <t>customhire1-13-22706</t>
  </si>
  <si>
    <t>customhire2-1-22706</t>
  </si>
  <si>
    <t>customhire2-2-22706</t>
  </si>
  <si>
    <t>customhire2-3-22706</t>
  </si>
  <si>
    <t>customhire2-4-22706</t>
  </si>
  <si>
    <t>customhire2-5-22706</t>
  </si>
  <si>
    <t>customhire2-6-22706</t>
  </si>
  <si>
    <t>customhire2-7-22706</t>
  </si>
  <si>
    <t>customhire2-8-22706</t>
  </si>
  <si>
    <t>size-1-3806</t>
  </si>
  <si>
    <t>15 ft</t>
  </si>
  <si>
    <t>size-2-3806</t>
  </si>
  <si>
    <t>16.3 ft</t>
  </si>
  <si>
    <t>size-3-3806</t>
  </si>
  <si>
    <t>6 ft</t>
  </si>
  <si>
    <t>size-4-3806</t>
  </si>
  <si>
    <t>35 ft</t>
  </si>
  <si>
    <t>size-5-3806</t>
  </si>
  <si>
    <t>30 ft</t>
  </si>
  <si>
    <t>size-6-3806</t>
  </si>
  <si>
    <t>30" O.C., 17 ft</t>
  </si>
  <si>
    <t>size-7-3806</t>
  </si>
  <si>
    <t>16 ft</t>
  </si>
  <si>
    <t>size-8-3806</t>
  </si>
  <si>
    <t>17.5 ft</t>
  </si>
  <si>
    <t>size-9-3806</t>
  </si>
  <si>
    <t>22 ft</t>
  </si>
  <si>
    <t>size-10-3806</t>
  </si>
  <si>
    <t>12 ft</t>
  </si>
  <si>
    <t>size-11-3806</t>
  </si>
  <si>
    <t>6 row</t>
  </si>
  <si>
    <t>size-12-3806</t>
  </si>
  <si>
    <t>(16/31 row 30/15")</t>
  </si>
  <si>
    <t>size-13-3806</t>
  </si>
  <si>
    <t>size-14-3806</t>
  </si>
  <si>
    <t>size-15-3806</t>
  </si>
  <si>
    <t>20 ft</t>
  </si>
  <si>
    <t>size-16-3806</t>
  </si>
  <si>
    <t>size-17-3806</t>
  </si>
  <si>
    <t>size-18-3806</t>
  </si>
  <si>
    <t>size-27-101707</t>
  </si>
  <si>
    <t>7 ft swath</t>
  </si>
  <si>
    <t>size-19-3806</t>
  </si>
  <si>
    <t>size-28-101707</t>
  </si>
  <si>
    <t>size-25-101707</t>
  </si>
  <si>
    <t>10 wheel, 20 ft</t>
  </si>
  <si>
    <t>size-26-101707</t>
  </si>
  <si>
    <t>9.5 ft</t>
  </si>
  <si>
    <t>size-20-101707</t>
  </si>
  <si>
    <t>1000 lb</t>
  </si>
  <si>
    <t>size-21-3806</t>
  </si>
  <si>
    <t>size-22-3806</t>
  </si>
  <si>
    <t>size-23-3806</t>
  </si>
  <si>
    <t>8 row</t>
  </si>
  <si>
    <t>size-24-3806</t>
  </si>
  <si>
    <t>500 bushel</t>
  </si>
  <si>
    <t>power-1-22706</t>
  </si>
  <si>
    <t>power-2-22706</t>
  </si>
  <si>
    <t>power-3-22706</t>
  </si>
  <si>
    <t>power-4-22706</t>
  </si>
  <si>
    <t>power-5-22706</t>
  </si>
  <si>
    <t>power-6-22706</t>
  </si>
  <si>
    <t>power-7-22706</t>
  </si>
  <si>
    <t>power-8-22706</t>
  </si>
  <si>
    <t>power-9-22706</t>
  </si>
  <si>
    <t>power-10-22706</t>
  </si>
  <si>
    <t>power-11-22706</t>
  </si>
  <si>
    <t>power-12-22706</t>
  </si>
  <si>
    <t>power-13-22706</t>
  </si>
  <si>
    <t>power-14-22706</t>
  </si>
  <si>
    <t>power-15-22706</t>
  </si>
  <si>
    <t>200 MFWD</t>
  </si>
  <si>
    <t>power-16-22706</t>
  </si>
  <si>
    <t>power-17-22706</t>
  </si>
  <si>
    <t>power-18-22706</t>
  </si>
  <si>
    <t>power-19-22706</t>
  </si>
  <si>
    <t>power-20-22706</t>
  </si>
  <si>
    <t>130 MFWD</t>
  </si>
  <si>
    <t>power-21-22706</t>
  </si>
  <si>
    <t>power-22-22706</t>
  </si>
  <si>
    <t>power-23-22706</t>
  </si>
  <si>
    <t>power-24-22706</t>
  </si>
  <si>
    <t>power-25-22706</t>
  </si>
  <si>
    <t>power-26-22706</t>
  </si>
  <si>
    <t>power-27-22706</t>
  </si>
  <si>
    <t>power-28-22706</t>
  </si>
  <si>
    <t>power-29-22706</t>
  </si>
  <si>
    <t>power-30-22706</t>
  </si>
  <si>
    <t>power-31-22706</t>
  </si>
  <si>
    <t>power-32-22706</t>
  </si>
  <si>
    <t>power-33-22706</t>
  </si>
  <si>
    <t>power-34-22706</t>
  </si>
  <si>
    <t>power-35-22706</t>
  </si>
  <si>
    <t>power-36-22706</t>
  </si>
  <si>
    <t>power-37-22706</t>
  </si>
  <si>
    <t>power-38-22706</t>
  </si>
  <si>
    <t>passes-1-22706</t>
  </si>
  <si>
    <t>passes-2-22706</t>
  </si>
  <si>
    <t>passes-3-22706</t>
  </si>
  <si>
    <t>passes-4-22706</t>
  </si>
  <si>
    <t>passes-5-22706</t>
  </si>
  <si>
    <t>passes-6-22706</t>
  </si>
  <si>
    <t>passes-7-22706</t>
  </si>
  <si>
    <t>passes-8-22706</t>
  </si>
  <si>
    <t>passes-9-22706</t>
  </si>
  <si>
    <t>passes-10-22706</t>
  </si>
  <si>
    <t>passes-11-22706</t>
  </si>
  <si>
    <t>passes-12-22706</t>
  </si>
  <si>
    <t>passes-13-22706</t>
  </si>
  <si>
    <t>passes-14-22706</t>
  </si>
  <si>
    <t>passes-15-22706</t>
  </si>
  <si>
    <t>passes-16-22706</t>
  </si>
  <si>
    <t>passes-17-22706</t>
  </si>
  <si>
    <t>passes-18-22706</t>
  </si>
  <si>
    <t>passes-19-22706</t>
  </si>
  <si>
    <t>passes-20-22706</t>
  </si>
  <si>
    <t>passes-21-22706</t>
  </si>
  <si>
    <t>passes-22-22706</t>
  </si>
  <si>
    <t>passes-23-22706</t>
  </si>
  <si>
    <t>passes-24-22706</t>
  </si>
  <si>
    <t>passes-25-22706</t>
  </si>
  <si>
    <t>passes-26-22706</t>
  </si>
  <si>
    <t>passes-27-22706</t>
  </si>
  <si>
    <t>passes-28-22706</t>
  </si>
  <si>
    <t>passes-29-22706</t>
  </si>
  <si>
    <t>passes-30-22706</t>
  </si>
  <si>
    <t>passes-31-22706</t>
  </si>
  <si>
    <t>passes-32-22706</t>
  </si>
  <si>
    <t>passes-33-22706</t>
  </si>
  <si>
    <t>passes-34-22706</t>
  </si>
  <si>
    <t>passes-35-22706</t>
  </si>
  <si>
    <t>passes-36-22706</t>
  </si>
  <si>
    <t>passes-37-22706</t>
  </si>
  <si>
    <t>passes-38-22706</t>
  </si>
  <si>
    <t>passes-39-22706</t>
  </si>
  <si>
    <t>passes-40-22706</t>
  </si>
  <si>
    <t>rent-1-82906</t>
  </si>
  <si>
    <t>rent-2-82906</t>
  </si>
  <si>
    <t>rent-3-82906</t>
  </si>
  <si>
    <t>rent-4-82906</t>
  </si>
  <si>
    <t>rent-5-82906</t>
  </si>
  <si>
    <t>rent-6-82906</t>
  </si>
  <si>
    <t>rent-7-82906</t>
  </si>
  <si>
    <t>rent-8-82906</t>
  </si>
  <si>
    <t>rent-9-82906</t>
  </si>
  <si>
    <t>rent-10-82906</t>
  </si>
  <si>
    <t>rent-11-82906</t>
  </si>
  <si>
    <t>rent-12-82906</t>
  </si>
  <si>
    <t>rent-13-82906</t>
  </si>
  <si>
    <t>rent-14-82906</t>
  </si>
  <si>
    <t>rent-15-82906</t>
  </si>
  <si>
    <t>rent-16-82906</t>
  </si>
  <si>
    <t>rent-17-82906</t>
  </si>
  <si>
    <t>rent-18-82906</t>
  </si>
  <si>
    <t>rent-19-82906</t>
  </si>
  <si>
    <t>rent-20-82906</t>
  </si>
  <si>
    <t>rent-21-82906</t>
  </si>
  <si>
    <t>rent-22-82906</t>
  </si>
  <si>
    <t>rent-23-82906</t>
  </si>
  <si>
    <t>rent-24-82906</t>
  </si>
  <si>
    <t>rent-25-82906</t>
  </si>
  <si>
    <t>rent-26-82906</t>
  </si>
  <si>
    <t>rent-27-82906</t>
  </si>
  <si>
    <t>rent-28-82906</t>
  </si>
  <si>
    <t>rent-29-82906</t>
  </si>
  <si>
    <t>rent-30-82906</t>
  </si>
  <si>
    <t>rent-31-82906</t>
  </si>
  <si>
    <t>rent-32-82906</t>
  </si>
  <si>
    <t>rent-33-82906</t>
  </si>
  <si>
    <t>rent-34-82906</t>
  </si>
  <si>
    <t>rent-35-82906</t>
  </si>
  <si>
    <t>rent-36-82906</t>
  </si>
  <si>
    <t>rent-37-82906</t>
  </si>
  <si>
    <t>rent-38-82906</t>
  </si>
  <si>
    <t>rent-39-82906</t>
  </si>
  <si>
    <t>rent-40-82906</t>
  </si>
  <si>
    <t>tons</t>
  </si>
  <si>
    <t>Operating cost per ton</t>
  </si>
  <si>
    <t>Ownership cost per ton</t>
  </si>
  <si>
    <t>Total cost per ton</t>
  </si>
  <si>
    <t>Other income</t>
  </si>
  <si>
    <t>Operating costs per ton</t>
  </si>
  <si>
    <t>Ownership costs per ton</t>
  </si>
  <si>
    <t>Total costs per ton</t>
  </si>
  <si>
    <t>Grazing</t>
  </si>
  <si>
    <t>AUM</t>
  </si>
  <si>
    <t>Hay</t>
  </si>
  <si>
    <t>pounds</t>
  </si>
  <si>
    <t>Selected input quantities</t>
  </si>
  <si>
    <t>Forage yield, 60 pound bales</t>
  </si>
  <si>
    <t>Seeding rate, pounds</t>
  </si>
  <si>
    <t>Phosphorus rate, pounds P2O5</t>
  </si>
  <si>
    <t>Potassium rate, pounds K2O</t>
  </si>
  <si>
    <t>Lime rate, tons</t>
  </si>
  <si>
    <t>Sum of allocated labor, hours</t>
  </si>
  <si>
    <t>Operating interest, %</t>
  </si>
  <si>
    <t>Selected input prices</t>
  </si>
  <si>
    <t>Alfalfa market price, per bale</t>
  </si>
  <si>
    <t>Alfalfa seed, per pound</t>
  </si>
  <si>
    <t>Phosphorous, per pound P2O5</t>
  </si>
  <si>
    <t>Potassium, per pound K2O</t>
  </si>
  <si>
    <t>Lime, per ton</t>
  </si>
  <si>
    <t>Farm diesel, per gallon</t>
  </si>
  <si>
    <t>Yes</t>
  </si>
  <si>
    <t>Labor</t>
  </si>
  <si>
    <t>Fuel</t>
  </si>
  <si>
    <t>Trips</t>
  </si>
  <si>
    <t>Machine activity (not custom)</t>
  </si>
  <si>
    <t>per acre</t>
  </si>
  <si>
    <t xml:space="preserve">  $ per unit</t>
  </si>
  <si>
    <t>Yield, tons, as fed</t>
  </si>
  <si>
    <t>Market price, per ton</t>
  </si>
  <si>
    <t>Phosphorus, per pound P2O5</t>
  </si>
  <si>
    <t>Pickup truck</t>
  </si>
  <si>
    <t>Forage yield, tons, as-is basis</t>
  </si>
  <si>
    <t>Seeding rate, corn</t>
  </si>
  <si>
    <t>Nitrogen rate, pounds</t>
  </si>
  <si>
    <t>Potassium rate, pounds K20</t>
  </si>
  <si>
    <t>Corn silage market price, per ton</t>
  </si>
  <si>
    <t>Seed, per 80,000 seed bag</t>
  </si>
  <si>
    <t>Nitrogen, per pound N</t>
  </si>
  <si>
    <t>Phosphourus, per pound P2O5</t>
  </si>
  <si>
    <t>Pasture yield, animal unit month</t>
  </si>
  <si>
    <t>Seeding rate, pounds clover</t>
  </si>
  <si>
    <t>Nitrogen rate, pounds N</t>
  </si>
  <si>
    <t>Pasture price, per animal unit month</t>
  </si>
  <si>
    <t>Clover seed, per pound</t>
  </si>
  <si>
    <t>Hay yield, tons</t>
  </si>
  <si>
    <t>Diesel fuel</t>
  </si>
  <si>
    <t>Pasture yield, animal unit months</t>
  </si>
  <si>
    <t>Hay market price, per ton</t>
  </si>
  <si>
    <t>Pasture yield</t>
  </si>
  <si>
    <t>Operating</t>
  </si>
  <si>
    <t>Ownership</t>
  </si>
  <si>
    <t>Total</t>
  </si>
  <si>
    <t>Hours</t>
  </si>
  <si>
    <t>Gallons</t>
  </si>
  <si>
    <t>Costs</t>
  </si>
  <si>
    <t>$ per acre</t>
  </si>
  <si>
    <t>Crop protection chemicals</t>
  </si>
  <si>
    <t>Seed price</t>
  </si>
  <si>
    <t>bales</t>
  </si>
  <si>
    <t>Hay sales (60 lb. square)</t>
  </si>
  <si>
    <r>
      <t>Costs</t>
    </r>
    <r>
      <rPr>
        <vertAlign val="superscript"/>
        <sz val="10"/>
        <rFont val="Segoe UI"/>
        <family val="2"/>
        <scheme val="minor"/>
      </rPr>
      <t>2</t>
    </r>
  </si>
  <si>
    <t>Baleage sales</t>
  </si>
  <si>
    <t>Bale sales</t>
  </si>
  <si>
    <t>Silage sales</t>
  </si>
  <si>
    <t>Pasture Establishment Planning Budget</t>
  </si>
  <si>
    <t>Alfalfa Establishment Planning Budget</t>
  </si>
  <si>
    <t>Alfalfa Baleage Planning Budget</t>
  </si>
  <si>
    <t>Alfalfa Small Squares Planning Budget</t>
  </si>
  <si>
    <t>Corn Silage Planning Budget</t>
  </si>
  <si>
    <t>Mixed Hay Planning Budget</t>
  </si>
  <si>
    <t>Fescue Seed and Forage Planning Budget</t>
  </si>
  <si>
    <t>Fescue seed</t>
  </si>
  <si>
    <t>Fescue hay</t>
  </si>
  <si>
    <t>Fescue pasture</t>
  </si>
  <si>
    <t>Updated: 10/2023</t>
  </si>
  <si>
    <t>Develop customized forage budgets by changing production and cost assumptions to fit your farming situation.</t>
  </si>
  <si>
    <t>Category</t>
  </si>
  <si>
    <t>Pounds</t>
  </si>
  <si>
    <t>Dollars per pound</t>
  </si>
  <si>
    <t>Animal unit months (AUM)</t>
  </si>
  <si>
    <t>Dollars per animal unit month (AUM)</t>
  </si>
  <si>
    <t>Dollars per unit</t>
  </si>
  <si>
    <t>Pounds N/acre</t>
  </si>
  <si>
    <t>Pounds P2O5/acre</t>
  </si>
  <si>
    <t>Pounds K20/acre</t>
  </si>
  <si>
    <t>Annual percentage</t>
  </si>
  <si>
    <t>Production Inputs</t>
  </si>
  <si>
    <t>Dollars per acre</t>
  </si>
  <si>
    <t>Dollars per hour</t>
  </si>
  <si>
    <t>Dollars per gallon</t>
  </si>
  <si>
    <t>Dollars per ton</t>
  </si>
  <si>
    <t>Dollars per pound N applied</t>
  </si>
  <si>
    <t>Dollars per pound P2O5 applied</t>
  </si>
  <si>
    <t>Dollars per pound K2O applied</t>
  </si>
  <si>
    <t>Income</t>
  </si>
  <si>
    <t>Total per acre</t>
  </si>
  <si>
    <t>Operating costs</t>
  </si>
  <si>
    <t>Total income</t>
  </si>
  <si>
    <t xml:space="preserve">Total operating costs </t>
  </si>
  <si>
    <t xml:space="preserve">Total ownership costs </t>
  </si>
  <si>
    <t>Total costs</t>
  </si>
  <si>
    <t>Price per unit</t>
  </si>
  <si>
    <t>Subtotal</t>
  </si>
  <si>
    <t xml:space="preserve">Operating costs </t>
  </si>
  <si>
    <t xml:space="preserve">Income </t>
  </si>
  <si>
    <t>Pasture price</t>
  </si>
  <si>
    <t>Unit</t>
  </si>
  <si>
    <t>Activity</t>
  </si>
  <si>
    <t xml:space="preserve">Apply dry fertilizer on cropland, single spread </t>
  </si>
  <si>
    <t>None</t>
  </si>
  <si>
    <t>Note: Equipment and power selection and data are from 2023 Lazarus Machdata.</t>
  </si>
  <si>
    <t>Cells with this color can be updated by using future Lazarus data or with data that the user has access to.</t>
  </si>
  <si>
    <t>Notes: I reduced this from the table Lazarus provides by eliminating the reference to Wu-Perry coefficients</t>
  </si>
  <si>
    <t>Items from Lazarus machdata.xls. Values may have been changed by me.</t>
  </si>
  <si>
    <t>Implements</t>
  </si>
  <si>
    <t>"Coefficients" table</t>
  </si>
  <si>
    <t>Selection</t>
  </si>
  <si>
    <t>Implement type</t>
  </si>
  <si>
    <t>Width</t>
  </si>
  <si>
    <t>Width Unit</t>
  </si>
  <si>
    <t>Size</t>
  </si>
  <si>
    <t>Size unit</t>
  </si>
  <si>
    <t>PriceP</t>
  </si>
  <si>
    <t>Discount</t>
  </si>
  <si>
    <t>PriceL</t>
  </si>
  <si>
    <t>Life (yr)</t>
  </si>
  <si>
    <t>Use (hr/yr)</t>
  </si>
  <si>
    <t>Use (ac/yr)</t>
  </si>
  <si>
    <t>ASABEtype</t>
  </si>
  <si>
    <t>Speed</t>
  </si>
  <si>
    <t>Efficiency</t>
  </si>
  <si>
    <t>LaborUse</t>
  </si>
  <si>
    <t>Shed (ft^2)</t>
  </si>
  <si>
    <t>TradeIn%</t>
  </si>
  <si>
    <t>TradeIn$</t>
  </si>
  <si>
    <t>Depr ($/ac)</t>
  </si>
  <si>
    <t>Rep ($/ac)</t>
  </si>
  <si>
    <t>hr/ac</t>
  </si>
  <si>
    <t>Ownership costs($/ac)</t>
  </si>
  <si>
    <t>Order in Lazarus</t>
  </si>
  <si>
    <t>HP &amp; descriptive information</t>
  </si>
  <si>
    <t>HP</t>
  </si>
  <si>
    <t>Information</t>
  </si>
  <si>
    <t>Fuel (gal/hph)</t>
  </si>
  <si>
    <t>Depr ($/hr)</t>
  </si>
  <si>
    <t>OH ($/hr)</t>
  </si>
  <si>
    <t>Rep ($/hr)</t>
  </si>
  <si>
    <t>Fuel (gal/hr)</t>
  </si>
  <si>
    <t>Ownership costs ($/hr)</t>
  </si>
  <si>
    <t>ASABE Category</t>
  </si>
  <si>
    <t>RF1</t>
  </si>
  <si>
    <t>RF2</t>
  </si>
  <si>
    <t>Life (hr)</t>
  </si>
  <si>
    <t>RV1</t>
  </si>
  <si>
    <t>RV2</t>
  </si>
  <si>
    <t>RV3</t>
  </si>
  <si>
    <t>RV4</t>
  </si>
  <si>
    <t>RV5</t>
  </si>
  <si>
    <t>δ</t>
  </si>
  <si>
    <t>Note</t>
  </si>
  <si>
    <t>Item</t>
  </si>
  <si>
    <t>Value</t>
  </si>
  <si>
    <t>Chisel plow</t>
  </si>
  <si>
    <t>Ft</t>
  </si>
  <si>
    <t>Two wheel drive tractors</t>
  </si>
  <si>
    <t>Air-carrier sprayer</t>
  </si>
  <si>
    <t>Labor ($/hr)</t>
  </si>
  <si>
    <t>Bean puller-windrower</t>
  </si>
  <si>
    <t>Interest rate, % of average investment</t>
  </si>
  <si>
    <t>Beet topper/stalk chopper</t>
  </si>
  <si>
    <t>Insurance Rate</t>
  </si>
  <si>
    <t xml:space="preserve">Chisel plow, front dsk </t>
  </si>
  <si>
    <t>Tandem disk harrow</t>
  </si>
  <si>
    <t>HP MFWD</t>
  </si>
  <si>
    <t>Mech. front wheel drive tractors</t>
  </si>
  <si>
    <t>Boom type sprayer</t>
  </si>
  <si>
    <t>Property taxes</t>
  </si>
  <si>
    <t>Fuel price, $/gallon</t>
  </si>
  <si>
    <t>Moldboard plow</t>
  </si>
  <si>
    <t>Bottom</t>
  </si>
  <si>
    <t>Combine</t>
  </si>
  <si>
    <t>***</t>
  </si>
  <si>
    <t>Lubrication cost, % of fuel</t>
  </si>
  <si>
    <t>Corn picker sheller</t>
  </si>
  <si>
    <t>Field cultivator</t>
  </si>
  <si>
    <t>Field cultivators</t>
  </si>
  <si>
    <t>Cotton picker</t>
  </si>
  <si>
    <t>Inflation Rate, % per year</t>
  </si>
  <si>
    <t>Four wheel drive tractors &amp; crawlers</t>
  </si>
  <si>
    <t>Fertilizer spreader</t>
  </si>
  <si>
    <t>HP 4WD</t>
  </si>
  <si>
    <t>Tandem disk</t>
  </si>
  <si>
    <t>Forage blower</t>
  </si>
  <si>
    <t>GDP implicit price deflator, 1996</t>
  </si>
  <si>
    <t>Forage harvester</t>
  </si>
  <si>
    <t>Row crop planter</t>
  </si>
  <si>
    <t>Row</t>
  </si>
  <si>
    <t>HP Combine</t>
  </si>
  <si>
    <t>Forage harvester (SP)</t>
  </si>
  <si>
    <t>Acres conversion factor</t>
  </si>
  <si>
    <t>Forage wagons</t>
  </si>
  <si>
    <t>HP SP Forage Harvester Base Unit</t>
  </si>
  <si>
    <t>Grain drill</t>
  </si>
  <si>
    <t>Heavy Duty disk harrow</t>
  </si>
  <si>
    <t>Large rectangular baler</t>
  </si>
  <si>
    <t>Large round baler</t>
  </si>
  <si>
    <r>
      <t>Repair estimates are based on coefficients for the following function from the 2006</t>
    </r>
    <r>
      <rPr>
        <u/>
        <sz val="11"/>
        <rFont val="Arial"/>
        <family val="2"/>
      </rPr>
      <t xml:space="preserve"> ASABE Standards</t>
    </r>
    <r>
      <rPr>
        <sz val="11"/>
        <rFont val="Arial"/>
        <family val="2"/>
      </rPr>
      <t xml:space="preserve"> by the</t>
    </r>
  </si>
  <si>
    <t>Manure handling equipment</t>
  </si>
  <si>
    <t>*</t>
  </si>
  <si>
    <t>American Society of Agricultural and Biological Engineers, sections D497.5 FEB2006 and EP496.3 FEB2006</t>
  </si>
  <si>
    <t>Air seeder drill w/cart</t>
  </si>
  <si>
    <t>Moldboard plows</t>
  </si>
  <si>
    <t>No-till drill</t>
  </si>
  <si>
    <t>Mower</t>
  </si>
  <si>
    <t>Row cultivator</t>
  </si>
  <si>
    <t>Row crop cultivator</t>
  </si>
  <si>
    <t>Mower (rotary)</t>
  </si>
  <si>
    <t>Boom sprayer - self-propelled</t>
  </si>
  <si>
    <t>Sprayer (SP)</t>
  </si>
  <si>
    <t>Mower-conditioner</t>
  </si>
  <si>
    <t>Boom sprayer - pull-type</t>
  </si>
  <si>
    <t>Mower-conditioner (rotary)</t>
  </si>
  <si>
    <t>Stalk shredder</t>
  </si>
  <si>
    <t>Mulcher-packer</t>
  </si>
  <si>
    <t>Potato harvester</t>
  </si>
  <si>
    <t>Hay rake</t>
  </si>
  <si>
    <t>Side delivery rake</t>
  </si>
  <si>
    <t>Rectangular baler</t>
  </si>
  <si>
    <t>Hay merger</t>
  </si>
  <si>
    <t>Roller packer</t>
  </si>
  <si>
    <t>Windrower (SP)</t>
  </si>
  <si>
    <t>Rotary hoe</t>
  </si>
  <si>
    <t>Rotary tiller</t>
  </si>
  <si>
    <t>Round baler</t>
  </si>
  <si>
    <t>5x6</t>
  </si>
  <si>
    <t>3x3</t>
  </si>
  <si>
    <t>4x3</t>
  </si>
  <si>
    <t>Spring tooth harrow</t>
  </si>
  <si>
    <t>Forage harvester, pull-type w/corn head</t>
  </si>
  <si>
    <t>Forage harvester (Pull)</t>
  </si>
  <si>
    <t>Sugar beet harvester</t>
  </si>
  <si>
    <t>Forage harvester, pull-type w/pickup head</t>
  </si>
  <si>
    <t>Forage harvester, self-prop corn head</t>
  </si>
  <si>
    <t>Total mixed ration mixer wagons</t>
  </si>
  <si>
    <t>Forage harvester, self-prop pickup head</t>
  </si>
  <si>
    <t>Wagon</t>
  </si>
  <si>
    <t>Forage harvester, self-prop pickup head (2X windrows)</t>
  </si>
  <si>
    <t>Combine platform</t>
  </si>
  <si>
    <t>Skid-steer loader</t>
  </si>
  <si>
    <t>Combine corn hd</t>
  </si>
  <si>
    <t>Combine chopping corn hd</t>
  </si>
  <si>
    <t>Combine belt pickup hd</t>
  </si>
  <si>
    <t>Grain cart</t>
  </si>
  <si>
    <t>Type</t>
  </si>
  <si>
    <t>Avg. cost/unit</t>
  </si>
  <si>
    <t>Field work</t>
  </si>
  <si>
    <t>Heavy or offset disking</t>
  </si>
  <si>
    <t>Vertical tillage tool</t>
  </si>
  <si>
    <t>Cut brush (brush hog)</t>
  </si>
  <si>
    <t>per hour</t>
  </si>
  <si>
    <t>Mow pasture or CRP land</t>
  </si>
  <si>
    <t>Planting</t>
  </si>
  <si>
    <t>Conventional planting, corn or grain sorghum, 30-inch rows</t>
  </si>
  <si>
    <t>Conventional planting, corn or grain sorghum, narrow rows</t>
  </si>
  <si>
    <t>Conventional planting, corn or grain sorghum, plant and apply fertilizer or chemicals</t>
  </si>
  <si>
    <t>Conventional planting, soybean, 30-inch rows</t>
  </si>
  <si>
    <t>Conventional planting, soybean, 15-inch rows</t>
  </si>
  <si>
    <t>Conventional planting, soybean, drill</t>
  </si>
  <si>
    <t>Conventional planting, small grains or forage crops, drill</t>
  </si>
  <si>
    <t>No-till planting, corn or grain sorghum, 30-inch rows</t>
  </si>
  <si>
    <t>No-till planting, corn or grain sorghum, narrow rows</t>
  </si>
  <si>
    <t>No-till planting, soybean, 30-inch rows</t>
  </si>
  <si>
    <t>No-till planting, soybean, 15-inch rows</t>
  </si>
  <si>
    <t>No-till planting, small grains or forage crops, drill</t>
  </si>
  <si>
    <t>Fert and chemicals</t>
  </si>
  <si>
    <t>Apply dry fertilizer on cropland, double spread</t>
  </si>
  <si>
    <t>Apply dry fertilizer on cropland, variable rate</t>
  </si>
  <si>
    <t>Apply dry fertilizer on pasture, topdressing</t>
  </si>
  <si>
    <t xml:space="preserve">Apply dry fertilizer plus seed </t>
  </si>
  <si>
    <t>Spray liquid fertilizer</t>
  </si>
  <si>
    <t>Spray liquid fertilizer and other chemicals</t>
  </si>
  <si>
    <t>Inject anhydrous ammonia</t>
  </si>
  <si>
    <t>Deliver and spread lime (includes lime)</t>
  </si>
  <si>
    <t>per ton</t>
  </si>
  <si>
    <t>Spread lime only</t>
  </si>
  <si>
    <t>Spray chemicals with self-propelled crop sprayer</t>
  </si>
  <si>
    <t>Spray chemicals with floater</t>
  </si>
  <si>
    <t>Spray chemicals with pull-type sprayer</t>
  </si>
  <si>
    <t>Harvest and haul</t>
  </si>
  <si>
    <t>Combine corn</t>
  </si>
  <si>
    <t>Combine soybean</t>
  </si>
  <si>
    <t>Combine small grains</t>
  </si>
  <si>
    <t>Grain cart, in field</t>
  </si>
  <si>
    <t>per bushel</t>
  </si>
  <si>
    <t>per loaded mile</t>
  </si>
  <si>
    <t>Cut and condition hay</t>
  </si>
  <si>
    <t>Rake hay</t>
  </si>
  <si>
    <t>Round bale only with net wrap</t>
  </si>
  <si>
    <t>per bale</t>
  </si>
  <si>
    <t>Cut, rake and bale with net wrap</t>
  </si>
  <si>
    <t>Tube wrap round bales, with wrap</t>
  </si>
  <si>
    <t>Implement used</t>
  </si>
  <si>
    <t>Power Used</t>
  </si>
  <si>
    <t xml:space="preserve">Fuel </t>
  </si>
  <si>
    <t xml:space="preserve">Labor </t>
  </si>
  <si>
    <t>Total
 cost</t>
  </si>
  <si>
    <t>105 HP MFWD</t>
  </si>
  <si>
    <t>130 HP MFWD</t>
  </si>
  <si>
    <t>Ft Folding</t>
  </si>
  <si>
    <t>Wheel rake</t>
  </si>
  <si>
    <t>Disk mower</t>
  </si>
  <si>
    <t>Disk mower/conditioner</t>
  </si>
  <si>
    <t>HP Tracked 4WD</t>
  </si>
  <si>
    <t>Front end loader, tractor mounted</t>
  </si>
  <si>
    <t>Cultimulcher</t>
  </si>
  <si>
    <t>Tandem disk, 21 Ft Folding</t>
  </si>
  <si>
    <t>160 HP MFWD</t>
  </si>
  <si>
    <t>Cultimulcher, 21 Ft Folding</t>
  </si>
  <si>
    <t>Boom sprayer - pull-type, 90 Ft Folding</t>
  </si>
  <si>
    <t>Disk mower/conditioner, 12 Ft</t>
  </si>
  <si>
    <t>Hay rake, 30 Ft Folding</t>
  </si>
  <si>
    <t>Chisel plow, front dsk , 16 Ft Folding</t>
  </si>
  <si>
    <t>Small square baler, twine tie</t>
  </si>
  <si>
    <t>Power equipment</t>
  </si>
  <si>
    <t>Alfalfa Establishment</t>
  </si>
  <si>
    <t>Passes</t>
  </si>
  <si>
    <t>Alfalfa Baleage</t>
  </si>
  <si>
    <t>Inline bale wrapper</t>
  </si>
  <si>
    <t>Rotary Mower (brush hog)</t>
  </si>
  <si>
    <t>Round baler w/net wrap</t>
  </si>
  <si>
    <t>Round baler w/net wrap, 30 Ft</t>
  </si>
  <si>
    <t>To edit machinery assumptions, see the machinery tab.</t>
  </si>
  <si>
    <t>Alfalfa Small Squares</t>
  </si>
  <si>
    <t>Hay tedder</t>
  </si>
  <si>
    <t>basket</t>
  </si>
  <si>
    <t>wheel</t>
  </si>
  <si>
    <t>Hay tedder, 16 Ft Folding</t>
  </si>
  <si>
    <t>Hay rake, 20 Ft Folding</t>
  </si>
  <si>
    <t>Small square baler, twine tie, 20 Ft</t>
  </si>
  <si>
    <t>Cool-Season Pasture Establishment</t>
  </si>
  <si>
    <t>Rotary Mower (brush hog), 15 Ft Folding</t>
  </si>
  <si>
    <t>Disk mower, 9 Ft</t>
  </si>
  <si>
    <t>Fescue Seed + Forage</t>
  </si>
  <si>
    <t>Field cultivator, 24 Ft Folding</t>
  </si>
  <si>
    <t>Anhydrous applicator</t>
  </si>
  <si>
    <t>Anhydrous applicator, 21 Ft Folding</t>
  </si>
  <si>
    <t>Row crop planter, 30 Ft Folding</t>
  </si>
  <si>
    <r>
      <t>Costs</t>
    </r>
    <r>
      <rPr>
        <vertAlign val="superscript"/>
        <sz val="10"/>
        <rFont val="Segoe UI"/>
        <family val="2"/>
        <scheme val="minor"/>
      </rPr>
      <t>1</t>
    </r>
  </si>
  <si>
    <r>
      <t>$ per acre</t>
    </r>
    <r>
      <rPr>
        <vertAlign val="superscript"/>
        <sz val="10"/>
        <rFont val="Segoe UI"/>
        <family val="2"/>
        <scheme val="minor"/>
      </rPr>
      <t>3</t>
    </r>
  </si>
  <si>
    <t>No-till drill, 15 Ft</t>
  </si>
  <si>
    <t>HP TWD</t>
  </si>
  <si>
    <t>75 HP TWD</t>
  </si>
  <si>
    <t>Abbreviations:</t>
  </si>
  <si>
    <t>TWD - Two-wheel drive</t>
  </si>
  <si>
    <t>MFWD - Mechanical front-wheel drive</t>
  </si>
  <si>
    <t>4WD - Articulated four wheel drive</t>
  </si>
  <si>
    <t>Operation type</t>
  </si>
  <si>
    <t>Primary tillage</t>
  </si>
  <si>
    <t>Planters</t>
  </si>
  <si>
    <t>Hay equipment</t>
  </si>
  <si>
    <t>Land management</t>
  </si>
  <si>
    <t>Forage harvesters</t>
  </si>
  <si>
    <t>Attachments</t>
  </si>
  <si>
    <t>Finish tillage</t>
  </si>
  <si>
    <t>Weed control</t>
  </si>
  <si>
    <t>Fertilization</t>
  </si>
  <si>
    <t>Grain harvest</t>
  </si>
  <si>
    <t>Fescue Seed &amp; Forage</t>
  </si>
  <si>
    <t xml:space="preserve">Activity </t>
  </si>
  <si>
    <t>Rate</t>
  </si>
  <si>
    <t>Machinery fuel</t>
  </si>
  <si>
    <t>gallon/acre covered</t>
  </si>
  <si>
    <t>hours/acre covered</t>
  </si>
  <si>
    <t>$/acre covered</t>
  </si>
  <si>
    <t>$/acre operated</t>
  </si>
  <si>
    <t>per acre operated</t>
  </si>
  <si>
    <t>Machinery ownership</t>
  </si>
  <si>
    <t>Combine grass seed</t>
  </si>
  <si>
    <t>Custom hire activities</t>
  </si>
  <si>
    <t>Operation</t>
  </si>
  <si>
    <t>Unit of charge</t>
  </si>
  <si>
    <t>Units per acre</t>
  </si>
  <si>
    <t>Cost per acre</t>
  </si>
  <si>
    <t>To edit custom hire assumptions, see the custom hire tab.</t>
  </si>
  <si>
    <t>Bale weight</t>
  </si>
  <si>
    <t>per pound</t>
  </si>
  <si>
    <t>Haul grain or seed from bin to market</t>
  </si>
  <si>
    <t>Haul grain or seed from field to farm storage</t>
  </si>
  <si>
    <t>Move round (or large square) bales locally</t>
  </si>
  <si>
    <t>Tons/acre (bales/acre for alf. est and sm sq)</t>
  </si>
  <si>
    <t xml:space="preserve">Pounds per acre </t>
  </si>
  <si>
    <t>Pounds per acre (seeds/acre for corn silage)</t>
  </si>
  <si>
    <t>Tons per acre</t>
  </si>
  <si>
    <t>Hours per acre</t>
  </si>
  <si>
    <t>Crop supplies, storage and marketing</t>
  </si>
  <si>
    <t>INCOME OVER OPERATING COSTS</t>
  </si>
  <si>
    <t>INCOME OVER TOTAL COSTS</t>
  </si>
  <si>
    <t>Ownership costs</t>
  </si>
  <si>
    <t>Non-machinery labor</t>
  </si>
  <si>
    <t>Producer activities</t>
  </si>
  <si>
    <t>Seed yield, pounds</t>
  </si>
  <si>
    <t>Fescue seed market price, per pound</t>
  </si>
  <si>
    <t>Input Prices</t>
  </si>
  <si>
    <r>
      <rPr>
        <vertAlign val="superscript"/>
        <sz val="10"/>
        <rFont val="Segoe UI"/>
        <family val="2"/>
        <scheme val="minor"/>
      </rPr>
      <t>1</t>
    </r>
    <r>
      <rPr>
        <sz val="10"/>
        <rFont val="Segoe UI"/>
        <family val="2"/>
        <scheme val="minor"/>
      </rPr>
      <t>Machinery operating cost is the sum of fuel, repairs, maintenance, and the value of labor</t>
    </r>
  </si>
  <si>
    <r>
      <rPr>
        <vertAlign val="superscript"/>
        <sz val="10"/>
        <rFont val="Segoe UI"/>
        <family val="2"/>
        <scheme val="minor"/>
      </rPr>
      <t>2</t>
    </r>
    <r>
      <rPr>
        <sz val="10"/>
        <rFont val="Segoe UI"/>
        <family val="2"/>
        <scheme val="minor"/>
      </rPr>
      <t>Machinery ownership cost is the sum of machinery overhead and depreciation.</t>
    </r>
  </si>
  <si>
    <r>
      <rPr>
        <vertAlign val="superscript"/>
        <sz val="10"/>
        <rFont val="Segoe UI"/>
        <family val="2"/>
        <scheme val="minor"/>
      </rPr>
      <t>3</t>
    </r>
    <r>
      <rPr>
        <sz val="10"/>
        <rFont val="Segoe UI"/>
        <family val="2"/>
        <scheme val="minor"/>
      </rPr>
      <t>Totals may not sum due to rounding</t>
    </r>
  </si>
  <si>
    <t>Per acre</t>
  </si>
  <si>
    <t>Source</t>
  </si>
  <si>
    <t>MU Custom Rates, 2023</t>
  </si>
  <si>
    <t>Corn Silage Pricing Spreadsheet, 2023</t>
  </si>
  <si>
    <t xml:space="preserve">Silage chopping </t>
  </si>
  <si>
    <t>Presswheel drill</t>
  </si>
  <si>
    <t>Presswheel drill, 16 Ft</t>
  </si>
  <si>
    <t xml:space="preserve">   Red clover</t>
  </si>
  <si>
    <t>Lime (deliver and spread)</t>
  </si>
  <si>
    <t>Selling price</t>
  </si>
  <si>
    <t>Ryan Milhollin, Drew Kientzy, Tim Schnakenberg</t>
  </si>
  <si>
    <t>Pick up and move small square bales locally (hand labor)</t>
  </si>
  <si>
    <t>Accumulate and stack small square bales and haul locally (mechanical collection)</t>
  </si>
  <si>
    <t>Kansas State Custom Rates, 2022</t>
  </si>
  <si>
    <t>Average of online responses given on various farm forum boards</t>
  </si>
  <si>
    <t xml:space="preserve">Dollars per pound </t>
  </si>
  <si>
    <t>Seed cost</t>
  </si>
  <si>
    <t>$/unit ($/bag for corn, $/lb. for alfalfa)</t>
  </si>
  <si>
    <t xml:space="preserve">      Tall fescue</t>
  </si>
  <si>
    <t xml:space="preserve">      Clover</t>
  </si>
  <si>
    <t xml:space="preserve">      Tall fescue </t>
  </si>
  <si>
    <t xml:space="preserve">   Tall fescue</t>
  </si>
  <si>
    <t>Tall fescue seed, per pound</t>
  </si>
  <si>
    <t>Labor wage, per hour</t>
  </si>
  <si>
    <t>Seeding rate, pounds tall fescue</t>
  </si>
  <si>
    <t>Phosphorous rate, Pounds P2O5</t>
  </si>
  <si>
    <r>
      <rPr>
        <vertAlign val="superscript"/>
        <sz val="10"/>
        <color theme="1"/>
        <rFont val="Segoe UI"/>
        <family val="2"/>
      </rPr>
      <t xml:space="preserve">1 </t>
    </r>
    <r>
      <rPr>
        <sz val="10"/>
        <color theme="1"/>
        <rFont val="Segoe UI"/>
        <family val="2"/>
      </rPr>
      <t>Based on Petrolia's average building cost of $3.75/ft2 from Huhnke OkSU round bale storage fact sheet BAE1716, * 15% for debt servicing and overhead, adjusted for inflation based on Jan 2021 Ag Prices Building materials index of 126.3/ Jan 2004  level of 73.3 = 1.72.</t>
    </r>
  </si>
  <si>
    <r>
      <t>Storage cost/sq. foot of space</t>
    </r>
    <r>
      <rPr>
        <vertAlign val="superscript"/>
        <sz val="10"/>
        <rFont val="Segoe UI"/>
        <family val="2"/>
      </rPr>
      <t>1</t>
    </r>
  </si>
  <si>
    <r>
      <t>2023 U.S. net farm income forecast ($ billions)</t>
    </r>
    <r>
      <rPr>
        <vertAlign val="superscript"/>
        <sz val="10"/>
        <rFont val="Segoe UI"/>
        <family val="2"/>
      </rPr>
      <t>2</t>
    </r>
  </si>
  <si>
    <r>
      <rPr>
        <vertAlign val="superscript"/>
        <sz val="10"/>
        <color theme="1"/>
        <rFont val="Segoe UI"/>
        <family val="2"/>
      </rPr>
      <t>2</t>
    </r>
    <r>
      <rPr>
        <sz val="10"/>
        <color theme="1"/>
        <rFont val="Segoe UI"/>
        <family val="2"/>
      </rPr>
      <t xml:space="preserve"> The national net farm income is used in the salvage value formulas as an indicator of the strength of the market for used equipment.  If we expect to own a machine for 12-years from 2023, we are really interested in the machinery market in the year 2033, but of course since 2033 estimates are unavailable the best we can really do is use the USDA estimate for 2023, which is $1136.9 billion in the Feb. 7, 2023 forecast.  We have converted the 2023 estimates to 1996 dollars because the formulas were based on 1996 inflation levels.</t>
    </r>
  </si>
  <si>
    <r>
      <rPr>
        <vertAlign val="superscript"/>
        <sz val="10"/>
        <color theme="1"/>
        <rFont val="Segoe UI"/>
        <family val="2"/>
      </rPr>
      <t>3</t>
    </r>
    <r>
      <rPr>
        <sz val="10"/>
        <color theme="1"/>
        <rFont val="Segoe UI"/>
        <family val="2"/>
      </rPr>
      <t xml:space="preserve"> The national net farm income is used in the salvage value formulas as an indicator of the strength of the market for used equipment.  If we expect to own a machine for 12-years from 2020, we are really interested in the machinery market in the year 2031, but of course since 2028 estimates are unavailable the best we can really do is use USDA estimates for 2020.  We have converted the 2020 estimates to 1996 dollars because the formulas were based on 1996 inflation levels.</t>
    </r>
  </si>
  <si>
    <r>
      <t>Real net farm income projected at trade-in, in $ billion 1996 dollars</t>
    </r>
    <r>
      <rPr>
        <vertAlign val="superscript"/>
        <sz val="10"/>
        <rFont val="Segoe UI"/>
        <family val="2"/>
      </rPr>
      <t>3</t>
    </r>
  </si>
  <si>
    <r>
      <rPr>
        <vertAlign val="superscript"/>
        <sz val="10"/>
        <color theme="1"/>
        <rFont val="Segoe UI"/>
        <family val="2"/>
      </rPr>
      <t>4</t>
    </r>
    <r>
      <rPr>
        <sz val="10"/>
        <color theme="1"/>
        <rFont val="Segoe UI"/>
        <family val="2"/>
      </rPr>
      <t xml:space="preserve"> from the Bureau of Econ Analysis National Income and Product Accts, in the econ report of the president</t>
    </r>
  </si>
  <si>
    <r>
      <t>GDP implicit price deflator, 2022 4th quarter</t>
    </r>
    <r>
      <rPr>
        <vertAlign val="superscript"/>
        <sz val="10"/>
        <color theme="1"/>
        <rFont val="Segoe UI"/>
        <family val="2"/>
      </rPr>
      <t>4</t>
    </r>
  </si>
  <si>
    <t>OH (interest, insurance, taxes, housing) ($/ac)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</si>
</sst>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m/d/yyyy;@"/>
    <numFmt numFmtId="165" formatCode="&quot;$&quot;#,##0.00"/>
    <numFmt numFmtId="166" formatCode="0.0%"/>
    <numFmt numFmtId="167" formatCode="0.0"/>
    <numFmt numFmtId="168" formatCode="_(* #,##0_);_(* \(#,##0\);_(* &quot;-&quot;??_);_(@_)"/>
    <numFmt numFmtId="169" formatCode="#,##0.0"/>
    <numFmt numFmtId="170" formatCode="#,##0.000"/>
    <numFmt numFmtId="171" formatCode="#,##0.0_);\(#,##0.0\)"/>
    <numFmt numFmtId="172" formatCode="_(* #,##0.0000_);_(* \(#,##0.0000\);_(* &quot;-&quot;??_);_(@_)"/>
  </numFmts>
  <fonts count="45">
    <font>
      <sz val="11"/>
      <color theme="1"/>
      <name val="Segoe UI"/>
      <family val="2"/>
      <scheme val="minor"/>
    </font>
    <font>
      <sz val="10"/>
      <name val="TimesNewRomanPS"/>
    </font>
    <font>
      <sz val="11"/>
      <color theme="1"/>
      <name val="Segoe UI"/>
      <family val="2"/>
      <scheme val="minor"/>
    </font>
    <font>
      <b/>
      <sz val="11"/>
      <color theme="1"/>
      <name val="Segoe UI"/>
      <family val="2"/>
      <scheme val="minor"/>
    </font>
    <font>
      <b/>
      <sz val="11"/>
      <color rgb="FF3F3F3F"/>
      <name val="Segoe UI"/>
      <family val="2"/>
      <scheme val="minor"/>
    </font>
    <font>
      <sz val="12"/>
      <color theme="1"/>
      <name val="Segoe UI"/>
      <family val="2"/>
      <scheme val="minor"/>
    </font>
    <font>
      <sz val="12"/>
      <name val="Segoe UI"/>
      <family val="2"/>
      <scheme val="minor"/>
    </font>
    <font>
      <sz val="11"/>
      <color theme="0"/>
      <name val="Segoe UI"/>
      <family val="2"/>
      <scheme val="minor"/>
    </font>
    <font>
      <sz val="11"/>
      <name val="Segoe UI"/>
      <family val="2"/>
      <scheme val="minor"/>
    </font>
    <font>
      <b/>
      <sz val="11"/>
      <name val="Segoe UI"/>
      <family val="2"/>
      <scheme val="minor"/>
    </font>
    <font>
      <i/>
      <sz val="11"/>
      <name val="Segoe UI"/>
      <family val="2"/>
      <scheme val="minor"/>
    </font>
    <font>
      <sz val="11"/>
      <color theme="2" tint="-0.749992370372631"/>
      <name val="Segoe UI"/>
      <family val="2"/>
      <scheme val="minor"/>
    </font>
    <font>
      <sz val="11"/>
      <color theme="2" tint="-0.499984740745262"/>
      <name val="Segoe UI"/>
      <family val="2"/>
      <scheme val="minor"/>
    </font>
    <font>
      <sz val="10"/>
      <name val="Segoe UI"/>
      <family val="2"/>
      <scheme val="minor"/>
    </font>
    <font>
      <vertAlign val="superscript"/>
      <sz val="10"/>
      <name val="Segoe UI"/>
      <family val="2"/>
      <scheme val="minor"/>
    </font>
    <font>
      <sz val="8"/>
      <name val="Segoe UI"/>
      <family val="2"/>
      <scheme val="minor"/>
    </font>
    <font>
      <b/>
      <sz val="10"/>
      <name val="Segoe UI"/>
      <family val="2"/>
      <scheme val="minor"/>
    </font>
    <font>
      <sz val="9"/>
      <name val="Segoe UI"/>
      <family val="2"/>
      <scheme val="minor"/>
    </font>
    <font>
      <sz val="11"/>
      <color theme="1"/>
      <name val="Segoe UI"/>
      <family val="2"/>
    </font>
    <font>
      <b/>
      <sz val="14"/>
      <color rgb="FFF1B82D"/>
      <name val="Segoe UI"/>
      <family val="2"/>
    </font>
    <font>
      <b/>
      <sz val="11"/>
      <color theme="1"/>
      <name val="Segoe UI"/>
      <family val="2"/>
    </font>
    <font>
      <sz val="12"/>
      <color theme="1"/>
      <name val="Segoe UI"/>
      <family val="2"/>
    </font>
    <font>
      <sz val="10"/>
      <name val="Segoe UI"/>
      <family val="2"/>
    </font>
    <font>
      <b/>
      <sz val="14"/>
      <color rgb="FFF1B82D"/>
      <name val="Segoe UI Black"/>
      <family val="2"/>
      <scheme val="major"/>
    </font>
    <font>
      <b/>
      <sz val="10"/>
      <color rgb="FF3F3F3F"/>
      <name val="Segoe UI"/>
      <family val="2"/>
    </font>
    <font>
      <sz val="10"/>
      <color theme="1"/>
      <name val="Segoe UI"/>
      <family val="2"/>
      <scheme val="minor"/>
    </font>
    <font>
      <b/>
      <sz val="12"/>
      <color theme="1"/>
      <name val="Segoe UI"/>
      <family val="2"/>
      <scheme val="minor"/>
    </font>
    <font>
      <sz val="12"/>
      <name val="Verdana"/>
      <family val="2"/>
    </font>
    <font>
      <i/>
      <sz val="12"/>
      <color theme="1"/>
      <name val="Segoe UI"/>
      <family val="2"/>
      <scheme val="minor"/>
    </font>
    <font>
      <b/>
      <u/>
      <sz val="12"/>
      <color theme="1"/>
      <name val="Segoe UI"/>
      <family val="2"/>
      <scheme val="minor"/>
    </font>
    <font>
      <b/>
      <u/>
      <sz val="11"/>
      <name val="Segoe UI"/>
      <family val="2"/>
      <scheme val="minor"/>
    </font>
    <font>
      <b/>
      <sz val="11"/>
      <color theme="2" tint="-0.749992370372631"/>
      <name val="Segoe UI"/>
      <family val="2"/>
      <scheme val="minor"/>
    </font>
    <font>
      <b/>
      <sz val="10"/>
      <color theme="1"/>
      <name val="Segoe UI"/>
      <family val="2"/>
    </font>
    <font>
      <sz val="10"/>
      <color theme="1"/>
      <name val="Segoe UI"/>
      <family val="2"/>
    </font>
    <font>
      <b/>
      <sz val="10"/>
      <name val="Segoe UI"/>
      <family val="2"/>
    </font>
    <font>
      <sz val="10"/>
      <color indexed="8"/>
      <name val="Segoe UI"/>
      <family val="2"/>
    </font>
    <font>
      <b/>
      <sz val="10"/>
      <color rgb="FFF1B82D"/>
      <name val="Segoe UI"/>
      <family val="2"/>
    </font>
    <font>
      <sz val="10"/>
      <color rgb="FFF1B82D"/>
      <name val="Segoe UI"/>
      <family val="2"/>
    </font>
    <font>
      <sz val="11"/>
      <name val="Arial"/>
      <family val="2"/>
    </font>
    <font>
      <u/>
      <sz val="11"/>
      <name val="Arial"/>
      <family val="2"/>
    </font>
    <font>
      <i/>
      <sz val="8"/>
      <color theme="1"/>
      <name val="Segoe UI"/>
      <family val="2"/>
    </font>
    <font>
      <sz val="10"/>
      <color rgb="FFFFC000"/>
      <name val="Segoe UI"/>
      <family val="2"/>
    </font>
    <font>
      <i/>
      <sz val="10"/>
      <name val="Segoe UI"/>
      <family val="2"/>
      <scheme val="minor"/>
    </font>
    <font>
      <vertAlign val="superscript"/>
      <sz val="10"/>
      <color theme="1"/>
      <name val="Segoe UI"/>
      <family val="2"/>
    </font>
    <font>
      <vertAlign val="superscript"/>
      <sz val="10"/>
      <name val="Segoe UI"/>
      <family val="2"/>
    </font>
  </fonts>
  <fills count="9">
    <fill>
      <patternFill patternType="none"/>
    </fill>
    <fill>
      <patternFill patternType="gray125"/>
    </fill>
    <fill>
      <patternFill patternType="solid">
        <fgColor rgb="FFF2F2F2"/>
      </patternFill>
    </fill>
    <fill>
      <patternFill patternType="solid">
        <fgColor theme="1"/>
        <bgColor indexed="64"/>
      </patternFill>
    </fill>
    <fill>
      <patternFill patternType="solid">
        <fgColor theme="2" tint="-9.9978637043366805E-2"/>
        <bgColor indexed="64"/>
      </patternFill>
    </fill>
    <fill>
      <patternFill patternType="gray0625"/>
    </fill>
    <fill>
      <patternFill patternType="solid">
        <fgColor theme="2"/>
        <bgColor indexed="64"/>
      </patternFill>
    </fill>
    <fill>
      <patternFill patternType="solid">
        <fgColor theme="1"/>
        <bgColor theme="1"/>
      </patternFill>
    </fill>
    <fill>
      <patternFill patternType="solid">
        <fgColor theme="0"/>
        <bgColor indexed="64"/>
      </patternFill>
    </fill>
  </fills>
  <borders count="26">
    <border>
      <left/>
      <right/>
      <top/>
      <bottom/>
      <diagonal/>
    </border>
    <border>
      <left/>
      <right/>
      <top/>
      <bottom style="thin">
        <color indexed="64"/>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rgb="FF3F3F3F"/>
      </left>
      <right/>
      <top style="thin">
        <color rgb="FF3F3F3F"/>
      </top>
      <bottom style="thin">
        <color rgb="FF3F3F3F"/>
      </bottom>
      <diagonal/>
    </border>
    <border>
      <left/>
      <right/>
      <top style="thin">
        <color rgb="FF3F3F3F"/>
      </top>
      <bottom style="thin">
        <color rgb="FF3F3F3F"/>
      </bottom>
      <diagonal/>
    </border>
    <border>
      <left/>
      <right style="thin">
        <color rgb="FF3F3F3F"/>
      </right>
      <top style="thin">
        <color rgb="FF3F3F3F"/>
      </top>
      <bottom style="thin">
        <color rgb="FF3F3F3F"/>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theme="4" tint="0.39997558519241921"/>
      </top>
      <bottom style="thin">
        <color theme="4" tint="0.39997558519241921"/>
      </bottom>
      <diagonal/>
    </border>
    <border>
      <left style="thin">
        <color theme="1"/>
      </left>
      <right/>
      <top style="thin">
        <color theme="1"/>
      </top>
      <bottom/>
      <diagonal/>
    </border>
    <border>
      <left/>
      <right style="medium">
        <color indexed="64"/>
      </right>
      <top style="medium">
        <color indexed="64"/>
      </top>
      <bottom style="medium">
        <color indexed="64"/>
      </bottom>
      <diagonal/>
    </border>
  </borders>
  <cellStyleXfs count="7">
    <xf numFmtId="0" fontId="0" fillId="0" borderId="0"/>
    <xf numFmtId="0" fontId="1" fillId="0" borderId="0"/>
    <xf numFmtId="9" fontId="2" fillId="0" borderId="0" applyFont="0" applyFill="0" applyBorder="0" applyAlignment="0" applyProtection="0"/>
    <xf numFmtId="44" fontId="2" fillId="0" borderId="0" applyFont="0" applyFill="0" applyBorder="0" applyAlignment="0" applyProtection="0"/>
    <xf numFmtId="0" fontId="4" fillId="2" borderId="2" applyNumberFormat="0" applyAlignment="0" applyProtection="0"/>
    <xf numFmtId="43" fontId="2" fillId="0" borderId="0" applyFont="0" applyFill="0" applyBorder="0" applyAlignment="0" applyProtection="0"/>
    <xf numFmtId="0" fontId="2" fillId="0" borderId="0"/>
  </cellStyleXfs>
  <cellXfs count="323">
    <xf numFmtId="0" fontId="0" fillId="0" borderId="0" xfId="0"/>
    <xf numFmtId="0" fontId="8" fillId="0" borderId="0" xfId="1" applyFont="1"/>
    <xf numFmtId="2" fontId="8" fillId="0" borderId="0" xfId="1" applyNumberFormat="1" applyFont="1" applyAlignment="1">
      <alignment horizontal="right"/>
    </xf>
    <xf numFmtId="0" fontId="8" fillId="0" borderId="0" xfId="1" applyFont="1" applyAlignment="1">
      <alignment horizontal="left"/>
    </xf>
    <xf numFmtId="2" fontId="8" fillId="0" borderId="0" xfId="1" applyNumberFormat="1" applyFont="1" applyAlignment="1">
      <alignment horizontal="left"/>
    </xf>
    <xf numFmtId="2" fontId="8" fillId="0" borderId="11" xfId="1" applyNumberFormat="1" applyFont="1" applyBorder="1" applyAlignment="1">
      <alignment horizontal="left"/>
    </xf>
    <xf numFmtId="9" fontId="10" fillId="0" borderId="0" xfId="1" applyNumberFormat="1" applyFont="1" applyAlignment="1">
      <alignment horizontal="right"/>
    </xf>
    <xf numFmtId="0" fontId="8" fillId="0" borderId="0" xfId="1" applyFont="1" applyAlignment="1">
      <alignment horizontal="right"/>
    </xf>
    <xf numFmtId="2" fontId="9" fillId="0" borderId="12" xfId="1" applyNumberFormat="1" applyFont="1" applyBorder="1" applyAlignment="1">
      <alignment horizontal="right"/>
    </xf>
    <xf numFmtId="2" fontId="9" fillId="0" borderId="0" xfId="1" applyNumberFormat="1" applyFont="1" applyAlignment="1">
      <alignment horizontal="right"/>
    </xf>
    <xf numFmtId="2" fontId="8" fillId="0" borderId="1" xfId="1" applyNumberFormat="1" applyFont="1" applyBorder="1" applyAlignment="1">
      <alignment horizontal="right"/>
    </xf>
    <xf numFmtId="0" fontId="8" fillId="0" borderId="11" xfId="1" applyFont="1" applyBorder="1" applyAlignment="1">
      <alignment horizontal="left" indent="1"/>
    </xf>
    <xf numFmtId="2" fontId="8" fillId="0" borderId="12" xfId="1" applyNumberFormat="1" applyFont="1" applyBorder="1" applyAlignment="1">
      <alignment horizontal="right"/>
    </xf>
    <xf numFmtId="2" fontId="8" fillId="0" borderId="0" xfId="1" applyNumberFormat="1" applyFont="1"/>
    <xf numFmtId="165" fontId="9" fillId="0" borderId="0" xfId="1" applyNumberFormat="1" applyFont="1" applyAlignment="1">
      <alignment horizontal="right"/>
    </xf>
    <xf numFmtId="2" fontId="8" fillId="0" borderId="11" xfId="1" applyNumberFormat="1" applyFont="1" applyBorder="1" applyAlignment="1">
      <alignment horizontal="left" indent="1"/>
    </xf>
    <xf numFmtId="2" fontId="12" fillId="0" borderId="0" xfId="1" applyNumberFormat="1" applyFont="1"/>
    <xf numFmtId="2" fontId="12" fillId="0" borderId="0" xfId="1" applyNumberFormat="1" applyFont="1" applyAlignment="1">
      <alignment horizontal="right"/>
    </xf>
    <xf numFmtId="2" fontId="8" fillId="0" borderId="11" xfId="1" applyNumberFormat="1" applyFont="1" applyBorder="1" applyAlignment="1">
      <alignment horizontal="left" indent="2"/>
    </xf>
    <xf numFmtId="2" fontId="8" fillId="0" borderId="1" xfId="1" applyNumberFormat="1" applyFont="1" applyBorder="1"/>
    <xf numFmtId="2" fontId="8" fillId="0" borderId="9" xfId="1" applyNumberFormat="1" applyFont="1" applyBorder="1" applyAlignment="1">
      <alignment horizontal="left"/>
    </xf>
    <xf numFmtId="2" fontId="8" fillId="0" borderId="10" xfId="1" applyNumberFormat="1" applyFont="1" applyBorder="1" applyAlignment="1">
      <alignment horizontal="right"/>
    </xf>
    <xf numFmtId="0" fontId="9" fillId="0" borderId="0" xfId="1" applyFont="1"/>
    <xf numFmtId="0" fontId="8" fillId="4" borderId="0" xfId="1" applyFont="1" applyFill="1" applyProtection="1">
      <protection locked="0"/>
    </xf>
    <xf numFmtId="0" fontId="9" fillId="0" borderId="0" xfId="1" applyFont="1" applyAlignment="1">
      <alignment horizontal="left"/>
    </xf>
    <xf numFmtId="2" fontId="13" fillId="0" borderId="0" xfId="0" applyNumberFormat="1" applyFont="1" applyAlignment="1">
      <alignment horizontal="left"/>
    </xf>
    <xf numFmtId="2" fontId="13" fillId="0" borderId="0" xfId="0" applyNumberFormat="1" applyFont="1" applyAlignment="1">
      <alignment horizontal="right"/>
    </xf>
    <xf numFmtId="2" fontId="13" fillId="0" borderId="1" xfId="0" applyNumberFormat="1" applyFont="1" applyBorder="1" applyAlignment="1">
      <alignment horizontal="left"/>
    </xf>
    <xf numFmtId="2" fontId="13" fillId="0" borderId="1" xfId="0" applyNumberFormat="1" applyFont="1" applyBorder="1" applyAlignment="1">
      <alignment horizontal="right"/>
    </xf>
    <xf numFmtId="2" fontId="16" fillId="0" borderId="0" xfId="0" applyNumberFormat="1" applyFont="1" applyAlignment="1">
      <alignment horizontal="left"/>
    </xf>
    <xf numFmtId="2" fontId="16" fillId="0" borderId="0" xfId="0" applyNumberFormat="1" applyFont="1" applyAlignment="1">
      <alignment horizontal="right"/>
    </xf>
    <xf numFmtId="0" fontId="18" fillId="0" borderId="0" xfId="0" applyFont="1"/>
    <xf numFmtId="0" fontId="25" fillId="0" borderId="0" xfId="0" applyFont="1"/>
    <xf numFmtId="4" fontId="6" fillId="6" borderId="0" xfId="0" applyNumberFormat="1" applyFont="1" applyFill="1" applyProtection="1">
      <protection locked="0"/>
    </xf>
    <xf numFmtId="167" fontId="5" fillId="6" borderId="0" xfId="0" applyNumberFormat="1" applyFont="1" applyFill="1" applyAlignment="1" applyProtection="1">
      <alignment horizontal="right"/>
      <protection locked="0"/>
    </xf>
    <xf numFmtId="166" fontId="5" fillId="6" borderId="0" xfId="0" applyNumberFormat="1" applyFont="1" applyFill="1" applyAlignment="1" applyProtection="1">
      <alignment horizontal="right"/>
      <protection locked="0"/>
    </xf>
    <xf numFmtId="0" fontId="5" fillId="6" borderId="0" xfId="3" applyNumberFormat="1" applyFont="1" applyFill="1" applyBorder="1" applyAlignment="1" applyProtection="1">
      <alignment horizontal="right"/>
      <protection locked="0"/>
    </xf>
    <xf numFmtId="169" fontId="5" fillId="6" borderId="0" xfId="5" applyNumberFormat="1" applyFont="1" applyFill="1" applyBorder="1" applyAlignment="1" applyProtection="1">
      <alignment horizontal="right"/>
      <protection locked="0"/>
    </xf>
    <xf numFmtId="169" fontId="5" fillId="6" borderId="0" xfId="3" applyNumberFormat="1" applyFont="1" applyFill="1" applyBorder="1" applyAlignment="1" applyProtection="1">
      <alignment horizontal="right"/>
      <protection locked="0"/>
    </xf>
    <xf numFmtId="0" fontId="5" fillId="6" borderId="0" xfId="0" applyFont="1" applyFill="1" applyAlignment="1" applyProtection="1">
      <alignment horizontal="right"/>
      <protection locked="0"/>
    </xf>
    <xf numFmtId="3" fontId="5" fillId="6" borderId="0" xfId="0" applyNumberFormat="1" applyFont="1" applyFill="1" applyAlignment="1" applyProtection="1">
      <alignment horizontal="right"/>
      <protection locked="0"/>
    </xf>
    <xf numFmtId="0" fontId="9" fillId="0" borderId="0" xfId="1" applyFont="1" applyAlignment="1">
      <alignment horizontal="right"/>
    </xf>
    <xf numFmtId="2" fontId="9" fillId="0" borderId="11" xfId="1" applyNumberFormat="1" applyFont="1" applyBorder="1" applyAlignment="1">
      <alignment horizontal="left"/>
    </xf>
    <xf numFmtId="2" fontId="9" fillId="0" borderId="11" xfId="1" applyNumberFormat="1" applyFont="1" applyBorder="1" applyAlignment="1">
      <alignment horizontal="right" indent="2"/>
    </xf>
    <xf numFmtId="0" fontId="8" fillId="0" borderId="11" xfId="1" applyFont="1" applyBorder="1"/>
    <xf numFmtId="0" fontId="13" fillId="0" borderId="0" xfId="1" applyFont="1" applyAlignment="1">
      <alignment horizontal="right"/>
    </xf>
    <xf numFmtId="0" fontId="8" fillId="6" borderId="0" xfId="1" applyFont="1" applyFill="1" applyAlignment="1" applyProtection="1">
      <alignment horizontal="right"/>
      <protection locked="0"/>
    </xf>
    <xf numFmtId="2" fontId="8" fillId="6" borderId="0" xfId="1" applyNumberFormat="1" applyFont="1" applyFill="1" applyAlignment="1" applyProtection="1">
      <alignment horizontal="right"/>
      <protection locked="0"/>
    </xf>
    <xf numFmtId="2" fontId="9" fillId="0" borderId="14" xfId="1" applyNumberFormat="1" applyFont="1" applyBorder="1" applyAlignment="1">
      <alignment horizontal="right" indent="2"/>
    </xf>
    <xf numFmtId="0" fontId="13" fillId="0" borderId="0" xfId="1" applyFont="1"/>
    <xf numFmtId="2" fontId="13" fillId="0" borderId="0" xfId="1" applyNumberFormat="1" applyFont="1" applyAlignment="1">
      <alignment horizontal="right"/>
    </xf>
    <xf numFmtId="0" fontId="30" fillId="0" borderId="11" xfId="1" applyFont="1" applyBorder="1" applyAlignment="1">
      <alignment horizontal="left"/>
    </xf>
    <xf numFmtId="2" fontId="30" fillId="0" borderId="11" xfId="1" applyNumberFormat="1" applyFont="1" applyBorder="1" applyAlignment="1">
      <alignment horizontal="left"/>
    </xf>
    <xf numFmtId="4" fontId="6" fillId="6" borderId="0" xfId="0" applyNumberFormat="1" applyFont="1" applyFill="1" applyAlignment="1" applyProtection="1">
      <alignment horizontal="right"/>
      <protection locked="0"/>
    </xf>
    <xf numFmtId="0" fontId="9" fillId="0" borderId="21" xfId="1" applyFont="1" applyBorder="1" applyAlignment="1">
      <alignment horizontal="right"/>
    </xf>
    <xf numFmtId="2" fontId="9" fillId="0" borderId="21" xfId="1" applyNumberFormat="1" applyFont="1" applyBorder="1" applyAlignment="1">
      <alignment horizontal="right"/>
    </xf>
    <xf numFmtId="2" fontId="9" fillId="0" borderId="22" xfId="1" applyNumberFormat="1" applyFont="1" applyBorder="1" applyAlignment="1">
      <alignment horizontal="right"/>
    </xf>
    <xf numFmtId="2" fontId="8" fillId="6" borderId="0" xfId="1" applyNumberFormat="1" applyFont="1" applyFill="1" applyAlignment="1" applyProtection="1">
      <alignment horizontal="left" indent="1"/>
      <protection locked="0"/>
    </xf>
    <xf numFmtId="167" fontId="8" fillId="0" borderId="0" xfId="1" applyNumberFormat="1" applyFont="1" applyAlignment="1">
      <alignment horizontal="right"/>
    </xf>
    <xf numFmtId="0" fontId="33" fillId="0" borderId="0" xfId="0" applyFont="1"/>
    <xf numFmtId="0" fontId="33" fillId="6" borderId="0" xfId="0" applyFont="1" applyFill="1"/>
    <xf numFmtId="170" fontId="33" fillId="0" borderId="0" xfId="0" applyNumberFormat="1" applyFont="1"/>
    <xf numFmtId="0" fontId="32" fillId="0" borderId="0" xfId="0" applyFont="1"/>
    <xf numFmtId="0" fontId="34" fillId="0" borderId="0" xfId="0" applyFont="1"/>
    <xf numFmtId="0" fontId="22" fillId="0" borderId="0" xfId="0" applyFont="1"/>
    <xf numFmtId="0" fontId="35" fillId="0" borderId="0" xfId="0" applyFont="1"/>
    <xf numFmtId="0" fontId="22" fillId="0" borderId="0" xfId="0" applyFont="1" applyAlignment="1">
      <alignment horizontal="center"/>
    </xf>
    <xf numFmtId="0" fontId="22" fillId="0" borderId="0" xfId="0" applyFont="1" applyAlignment="1">
      <alignment horizontal="left"/>
    </xf>
    <xf numFmtId="0" fontId="22" fillId="0" borderId="0" xfId="0" quotePrefix="1" applyFont="1" applyAlignment="1">
      <alignment horizontal="left"/>
    </xf>
    <xf numFmtId="0" fontId="36" fillId="3" borderId="0" xfId="0" applyFont="1" applyFill="1" applyAlignment="1">
      <alignment wrapText="1"/>
    </xf>
    <xf numFmtId="0" fontId="37" fillId="0" borderId="0" xfId="0" applyFont="1" applyAlignment="1">
      <alignment horizontal="left" wrapText="1"/>
    </xf>
    <xf numFmtId="0" fontId="37" fillId="0" borderId="0" xfId="0" applyFont="1" applyAlignment="1">
      <alignment wrapText="1"/>
    </xf>
    <xf numFmtId="0" fontId="37" fillId="0" borderId="0" xfId="0" applyFont="1" applyAlignment="1">
      <alignment horizontal="right" wrapText="1"/>
    </xf>
    <xf numFmtId="0" fontId="37" fillId="0" borderId="0" xfId="0" quotePrefix="1" applyFont="1" applyAlignment="1">
      <alignment horizontal="right" wrapText="1"/>
    </xf>
    <xf numFmtId="0" fontId="22" fillId="0" borderId="0" xfId="0" quotePrefix="1" applyFont="1" applyAlignment="1" applyProtection="1">
      <alignment horizontal="left" wrapText="1"/>
      <protection locked="0"/>
    </xf>
    <xf numFmtId="0" fontId="22" fillId="6" borderId="0" xfId="0" quotePrefix="1" applyFont="1" applyFill="1" applyAlignment="1" applyProtection="1">
      <alignment horizontal="left"/>
      <protection locked="0"/>
    </xf>
    <xf numFmtId="0" fontId="22" fillId="6" borderId="0" xfId="0" applyFont="1" applyFill="1" applyProtection="1">
      <protection locked="0"/>
    </xf>
    <xf numFmtId="168" fontId="22" fillId="6" borderId="0" xfId="5" applyNumberFormat="1" applyFont="1" applyFill="1" applyBorder="1" applyProtection="1">
      <protection locked="0"/>
    </xf>
    <xf numFmtId="9" fontId="22" fillId="6" borderId="0" xfId="2" applyFont="1" applyFill="1" applyBorder="1" applyProtection="1">
      <protection locked="0"/>
    </xf>
    <xf numFmtId="3" fontId="22" fillId="6" borderId="0" xfId="0" applyNumberFormat="1" applyFont="1" applyFill="1"/>
    <xf numFmtId="168" fontId="22" fillId="6" borderId="0" xfId="5" applyNumberFormat="1" applyFont="1" applyFill="1" applyBorder="1" applyProtection="1"/>
    <xf numFmtId="166" fontId="33" fillId="0" borderId="0" xfId="0" applyNumberFormat="1" applyFont="1"/>
    <xf numFmtId="6" fontId="33" fillId="0" borderId="0" xfId="0" applyNumberFormat="1" applyFont="1"/>
    <xf numFmtId="43" fontId="33" fillId="0" borderId="0" xfId="0" applyNumberFormat="1" applyFont="1"/>
    <xf numFmtId="165" fontId="22" fillId="0" borderId="0" xfId="5" applyNumberFormat="1" applyFont="1" applyFill="1" applyBorder="1"/>
    <xf numFmtId="43" fontId="33" fillId="0" borderId="0" xfId="3" applyNumberFormat="1" applyFont="1" applyBorder="1"/>
    <xf numFmtId="8" fontId="33" fillId="0" borderId="0" xfId="0" applyNumberFormat="1" applyFont="1"/>
    <xf numFmtId="3" fontId="33" fillId="0" borderId="0" xfId="0" applyNumberFormat="1" applyFont="1"/>
    <xf numFmtId="0" fontId="35" fillId="0" borderId="0" xfId="0" applyFont="1" applyAlignment="1">
      <alignment horizontal="left"/>
    </xf>
    <xf numFmtId="0" fontId="22" fillId="6" borderId="0" xfId="0" applyFont="1" applyFill="1" applyAlignment="1">
      <alignment horizontal="right"/>
    </xf>
    <xf numFmtId="166" fontId="22" fillId="0" borderId="0" xfId="0" applyNumberFormat="1" applyFont="1" applyProtection="1">
      <protection locked="0"/>
    </xf>
    <xf numFmtId="6" fontId="22" fillId="0" borderId="0" xfId="0" applyNumberFormat="1" applyFont="1" applyProtection="1">
      <protection locked="0"/>
    </xf>
    <xf numFmtId="43" fontId="22" fillId="0" borderId="0" xfId="0" applyNumberFormat="1" applyFont="1"/>
    <xf numFmtId="43" fontId="22" fillId="0" borderId="0" xfId="0" applyNumberFormat="1" applyFont="1" applyProtection="1">
      <protection locked="0"/>
    </xf>
    <xf numFmtId="8" fontId="22" fillId="0" borderId="0" xfId="3" applyNumberFormat="1" applyFont="1"/>
    <xf numFmtId="4" fontId="22" fillId="0" borderId="0" xfId="0" applyNumberFormat="1" applyFont="1" applyProtection="1">
      <protection locked="0"/>
    </xf>
    <xf numFmtId="8" fontId="22" fillId="0" borderId="0" xfId="0" applyNumberFormat="1" applyFont="1" applyProtection="1">
      <protection locked="0"/>
    </xf>
    <xf numFmtId="0" fontId="22" fillId="6" borderId="0" xfId="0" applyFont="1" applyFill="1"/>
    <xf numFmtId="0" fontId="22" fillId="0" borderId="0" xfId="0" applyFont="1" applyAlignment="1">
      <alignment horizontal="right"/>
    </xf>
    <xf numFmtId="166" fontId="22" fillId="0" borderId="0" xfId="5" applyNumberFormat="1" applyFont="1" applyFill="1" applyBorder="1" applyProtection="1">
      <protection locked="0"/>
    </xf>
    <xf numFmtId="6" fontId="22" fillId="0" borderId="0" xfId="5" applyNumberFormat="1" applyFont="1" applyFill="1" applyBorder="1"/>
    <xf numFmtId="43" fontId="22" fillId="0" borderId="0" xfId="5" applyFont="1" applyFill="1" applyBorder="1"/>
    <xf numFmtId="8" fontId="22" fillId="0" borderId="0" xfId="3" applyNumberFormat="1" applyFont="1" applyFill="1" applyBorder="1"/>
    <xf numFmtId="166" fontId="22" fillId="6" borderId="0" xfId="0" applyNumberFormat="1" applyFont="1" applyFill="1" applyProtection="1">
      <protection locked="0"/>
    </xf>
    <xf numFmtId="10" fontId="22" fillId="6" borderId="0" xfId="0" applyNumberFormat="1" applyFont="1" applyFill="1" applyProtection="1">
      <protection locked="0"/>
    </xf>
    <xf numFmtId="0" fontId="22" fillId="6" borderId="0" xfId="0" applyFont="1" applyFill="1" applyAlignment="1" applyProtection="1">
      <alignment horizontal="left"/>
      <protection locked="0"/>
    </xf>
    <xf numFmtId="10" fontId="22" fillId="6" borderId="0" xfId="0" applyNumberFormat="1" applyFont="1" applyFill="1"/>
    <xf numFmtId="9" fontId="22" fillId="6" borderId="0" xfId="0" applyNumberFormat="1" applyFont="1" applyFill="1" applyProtection="1">
      <protection locked="0"/>
    </xf>
    <xf numFmtId="165" fontId="22" fillId="6" borderId="0" xfId="0" applyNumberFormat="1" applyFont="1" applyFill="1" applyProtection="1">
      <protection locked="0"/>
    </xf>
    <xf numFmtId="166" fontId="22" fillId="6" borderId="0" xfId="2" applyNumberFormat="1" applyFont="1" applyFill="1" applyBorder="1" applyProtection="1">
      <protection locked="0"/>
    </xf>
    <xf numFmtId="171" fontId="22" fillId="6" borderId="0" xfId="3" applyNumberFormat="1" applyFont="1" applyFill="1" applyBorder="1" applyProtection="1">
      <protection locked="0"/>
    </xf>
    <xf numFmtId="43" fontId="22" fillId="6" borderId="0" xfId="5" applyFont="1" applyFill="1" applyBorder="1" applyProtection="1">
      <protection locked="0"/>
    </xf>
    <xf numFmtId="44" fontId="22" fillId="0" borderId="0" xfId="3" applyFont="1" applyFill="1" applyBorder="1" applyProtection="1"/>
    <xf numFmtId="172" fontId="22" fillId="6" borderId="0" xfId="5" applyNumberFormat="1" applyFont="1" applyFill="1" applyBorder="1" applyProtection="1">
      <protection locked="0"/>
    </xf>
    <xf numFmtId="0" fontId="38" fillId="0" borderId="0" xfId="0" quotePrefix="1" applyFont="1" applyAlignment="1">
      <alignment horizontal="left"/>
    </xf>
    <xf numFmtId="0" fontId="38" fillId="0" borderId="0" xfId="0" applyFont="1" applyAlignment="1">
      <alignment horizontal="left"/>
    </xf>
    <xf numFmtId="8" fontId="22" fillId="0" borderId="23" xfId="0" applyNumberFormat="1" applyFont="1" applyBorder="1"/>
    <xf numFmtId="9" fontId="33" fillId="0" borderId="0" xfId="0" applyNumberFormat="1" applyFont="1"/>
    <xf numFmtId="0" fontId="33" fillId="0" borderId="23" xfId="0" applyFont="1" applyBorder="1"/>
    <xf numFmtId="0" fontId="36" fillId="7" borderId="24" xfId="0" applyFont="1" applyFill="1" applyBorder="1"/>
    <xf numFmtId="0" fontId="36" fillId="0" borderId="0" xfId="0" applyFont="1"/>
    <xf numFmtId="8" fontId="22" fillId="6" borderId="0" xfId="0" applyNumberFormat="1" applyFont="1" applyFill="1"/>
    <xf numFmtId="8" fontId="33" fillId="6" borderId="0" xfId="0" applyNumberFormat="1" applyFont="1" applyFill="1"/>
    <xf numFmtId="0" fontId="40" fillId="0" borderId="0" xfId="0" applyFont="1" applyAlignment="1">
      <alignment horizontal="right"/>
    </xf>
    <xf numFmtId="40" fontId="33" fillId="0" borderId="0" xfId="0" applyNumberFormat="1" applyFont="1"/>
    <xf numFmtId="2" fontId="32" fillId="0" borderId="0" xfId="0" applyNumberFormat="1" applyFont="1" applyAlignment="1">
      <alignment wrapText="1"/>
    </xf>
    <xf numFmtId="8" fontId="22" fillId="0" borderId="0" xfId="5" applyNumberFormat="1" applyFont="1" applyFill="1" applyBorder="1"/>
    <xf numFmtId="165" fontId="22" fillId="0" borderId="0" xfId="0" applyNumberFormat="1" applyFont="1" applyProtection="1">
      <protection locked="0"/>
    </xf>
    <xf numFmtId="0" fontId="32" fillId="0" borderId="0" xfId="0" applyFont="1" applyAlignment="1">
      <alignment horizontal="center"/>
    </xf>
    <xf numFmtId="0" fontId="32" fillId="0" borderId="0" xfId="0" applyFont="1" applyAlignment="1">
      <alignment horizontal="center" wrapText="1"/>
    </xf>
    <xf numFmtId="2" fontId="13" fillId="0" borderId="15" xfId="0" applyNumberFormat="1" applyFont="1" applyBorder="1" applyAlignment="1">
      <alignment horizontal="right"/>
    </xf>
    <xf numFmtId="1" fontId="13" fillId="0" borderId="15" xfId="0" applyNumberFormat="1" applyFont="1" applyBorder="1" applyAlignment="1">
      <alignment horizontal="right"/>
    </xf>
    <xf numFmtId="1" fontId="13" fillId="0" borderId="0" xfId="0" applyNumberFormat="1" applyFont="1" applyAlignment="1">
      <alignment horizontal="right"/>
    </xf>
    <xf numFmtId="1" fontId="13" fillId="0" borderId="1" xfId="0" applyNumberFormat="1" applyFont="1" applyBorder="1" applyAlignment="1">
      <alignment horizontal="right"/>
    </xf>
    <xf numFmtId="3" fontId="22" fillId="8" borderId="0" xfId="0" applyNumberFormat="1" applyFont="1" applyFill="1"/>
    <xf numFmtId="0" fontId="41" fillId="3" borderId="0" xfId="0" applyFont="1" applyFill="1" applyAlignment="1">
      <alignment wrapText="1"/>
    </xf>
    <xf numFmtId="0" fontId="32" fillId="0" borderId="21" xfId="0" applyFont="1" applyBorder="1"/>
    <xf numFmtId="0" fontId="13" fillId="0" borderId="1" xfId="1" applyFont="1" applyBorder="1"/>
    <xf numFmtId="0" fontId="13" fillId="0" borderId="1" xfId="1" applyFont="1" applyBorder="1" applyAlignment="1">
      <alignment horizontal="right"/>
    </xf>
    <xf numFmtId="0" fontId="16" fillId="0" borderId="0" xfId="1" applyFont="1"/>
    <xf numFmtId="0" fontId="16" fillId="0" borderId="0" xfId="1" applyFont="1" applyAlignment="1">
      <alignment horizontal="right"/>
    </xf>
    <xf numFmtId="39" fontId="22" fillId="0" borderId="0" xfId="3" applyNumberFormat="1" applyFont="1" applyFill="1" applyBorder="1" applyProtection="1">
      <protection locked="0"/>
    </xf>
    <xf numFmtId="7" fontId="22" fillId="0" borderId="0" xfId="0" applyNumberFormat="1" applyFont="1" applyProtection="1">
      <protection locked="0"/>
    </xf>
    <xf numFmtId="2" fontId="42" fillId="0" borderId="0" xfId="0" applyNumberFormat="1" applyFont="1" applyAlignment="1">
      <alignment horizontal="right"/>
    </xf>
    <xf numFmtId="39" fontId="13" fillId="0" borderId="15" xfId="1" applyNumberFormat="1" applyFont="1" applyBorder="1"/>
    <xf numFmtId="0" fontId="13" fillId="0" borderId="15" xfId="1" applyFont="1" applyBorder="1"/>
    <xf numFmtId="39" fontId="13" fillId="0" borderId="0" xfId="1" applyNumberFormat="1" applyFont="1"/>
    <xf numFmtId="39" fontId="13" fillId="0" borderId="1" xfId="1" applyNumberFormat="1" applyFont="1" applyBorder="1"/>
    <xf numFmtId="0" fontId="18" fillId="8" borderId="0" xfId="0" applyFont="1" applyFill="1"/>
    <xf numFmtId="0" fontId="20" fillId="8" borderId="0" xfId="0" applyFont="1" applyFill="1"/>
    <xf numFmtId="0" fontId="20" fillId="8" borderId="0" xfId="0" applyFont="1" applyFill="1" applyAlignment="1">
      <alignment horizontal="left" indent="4"/>
    </xf>
    <xf numFmtId="164" fontId="8" fillId="6" borderId="0" xfId="1" applyNumberFormat="1" applyFont="1" applyFill="1" applyAlignment="1" applyProtection="1">
      <alignment horizontal="left"/>
      <protection locked="0"/>
    </xf>
    <xf numFmtId="40" fontId="9" fillId="0" borderId="12" xfId="1" applyNumberFormat="1" applyFont="1" applyBorder="1" applyAlignment="1">
      <alignment horizontal="right"/>
    </xf>
    <xf numFmtId="40" fontId="8" fillId="0" borderId="12" xfId="1" applyNumberFormat="1" applyFont="1" applyBorder="1" applyAlignment="1">
      <alignment horizontal="right"/>
    </xf>
    <xf numFmtId="40" fontId="9" fillId="0" borderId="13" xfId="1" applyNumberFormat="1" applyFont="1" applyBorder="1" applyAlignment="1">
      <alignment horizontal="right"/>
    </xf>
    <xf numFmtId="40" fontId="8" fillId="0" borderId="13" xfId="1" applyNumberFormat="1" applyFont="1" applyBorder="1" applyAlignment="1">
      <alignment horizontal="right"/>
    </xf>
    <xf numFmtId="0" fontId="8" fillId="6" borderId="0" xfId="1" applyFont="1" applyFill="1" applyProtection="1">
      <protection locked="0"/>
    </xf>
    <xf numFmtId="0" fontId="32" fillId="0" borderId="21" xfId="0" applyFont="1" applyBorder="1" applyAlignment="1">
      <alignment horizontal="center"/>
    </xf>
    <xf numFmtId="0" fontId="32" fillId="0" borderId="21" xfId="0" applyFont="1" applyBorder="1" applyAlignment="1">
      <alignment horizontal="left"/>
    </xf>
    <xf numFmtId="39" fontId="33" fillId="0" borderId="0" xfId="3" applyNumberFormat="1" applyFont="1" applyBorder="1"/>
    <xf numFmtId="0" fontId="42" fillId="0" borderId="0" xfId="1" applyFont="1" applyAlignment="1">
      <alignment horizontal="left"/>
    </xf>
    <xf numFmtId="0" fontId="13" fillId="0" borderId="0" xfId="0" applyFont="1" applyAlignment="1">
      <alignment horizontal="left"/>
    </xf>
    <xf numFmtId="0" fontId="13" fillId="0" borderId="1" xfId="0" applyFont="1" applyBorder="1" applyAlignment="1">
      <alignment horizontal="left"/>
    </xf>
    <xf numFmtId="0" fontId="17" fillId="0" borderId="0" xfId="0" applyFont="1" applyAlignment="1">
      <alignment horizontal="left"/>
    </xf>
    <xf numFmtId="0" fontId="17" fillId="0" borderId="1" xfId="0" applyFont="1" applyBorder="1" applyAlignment="1">
      <alignment horizontal="left"/>
    </xf>
    <xf numFmtId="2" fontId="13" fillId="0" borderId="0" xfId="0" applyNumberFormat="1" applyFont="1"/>
    <xf numFmtId="2" fontId="13" fillId="0" borderId="1" xfId="0" applyNumberFormat="1" applyFont="1" applyBorder="1"/>
    <xf numFmtId="1" fontId="13" fillId="0" borderId="0" xfId="1" applyNumberFormat="1" applyFont="1"/>
    <xf numFmtId="167" fontId="13" fillId="0" borderId="0" xfId="1" applyNumberFormat="1" applyFont="1"/>
    <xf numFmtId="2" fontId="13" fillId="0" borderId="0" xfId="1" applyNumberFormat="1" applyFont="1"/>
    <xf numFmtId="166" fontId="13" fillId="0" borderId="0" xfId="2" applyNumberFormat="1" applyFont="1" applyFill="1" applyProtection="1"/>
    <xf numFmtId="4" fontId="13" fillId="0" borderId="0" xfId="1" applyNumberFormat="1" applyFont="1"/>
    <xf numFmtId="165" fontId="13" fillId="0" borderId="0" xfId="5" applyNumberFormat="1" applyFont="1" applyFill="1" applyProtection="1"/>
    <xf numFmtId="4" fontId="13" fillId="0" borderId="0" xfId="5" applyNumberFormat="1" applyFont="1" applyFill="1" applyProtection="1"/>
    <xf numFmtId="0" fontId="13" fillId="0" borderId="1" xfId="1" applyFont="1" applyBorder="1" applyAlignment="1">
      <alignment horizontal="center"/>
    </xf>
    <xf numFmtId="39" fontId="25" fillId="0" borderId="0" xfId="3" applyNumberFormat="1" applyFont="1"/>
    <xf numFmtId="39" fontId="25" fillId="0" borderId="1" xfId="3" applyNumberFormat="1" applyFont="1" applyBorder="1"/>
    <xf numFmtId="0" fontId="25" fillId="0" borderId="1" xfId="0" applyFont="1" applyBorder="1"/>
    <xf numFmtId="44" fontId="25" fillId="0" borderId="1" xfId="3" applyFont="1" applyBorder="1"/>
    <xf numFmtId="40" fontId="8" fillId="0" borderId="12" xfId="1" applyNumberFormat="1" applyFont="1" applyBorder="1" applyAlignment="1">
      <alignment horizontal="left"/>
    </xf>
    <xf numFmtId="40" fontId="8" fillId="6" borderId="12" xfId="1" applyNumberFormat="1" applyFont="1" applyFill="1" applyBorder="1" applyAlignment="1" applyProtection="1">
      <alignment horizontal="right"/>
      <protection locked="0"/>
    </xf>
    <xf numFmtId="0" fontId="13" fillId="0" borderId="1" xfId="1" applyFont="1" applyBorder="1" applyAlignment="1">
      <alignment horizontal="left"/>
    </xf>
    <xf numFmtId="0" fontId="0" fillId="3" borderId="0" xfId="0" applyFill="1"/>
    <xf numFmtId="0" fontId="3" fillId="0" borderId="1" xfId="0" applyFont="1" applyBorder="1" applyAlignment="1">
      <alignment horizontal="center"/>
    </xf>
    <xf numFmtId="0" fontId="29" fillId="0" borderId="0" xfId="0" applyFont="1"/>
    <xf numFmtId="0" fontId="3" fillId="0" borderId="0" xfId="0" applyFont="1"/>
    <xf numFmtId="0" fontId="0" fillId="0" borderId="0" xfId="0" applyAlignment="1">
      <alignment horizontal="center"/>
    </xf>
    <xf numFmtId="0" fontId="5" fillId="0" borderId="0" xfId="0" applyFont="1"/>
    <xf numFmtId="0" fontId="5" fillId="5" borderId="0" xfId="0" applyFont="1" applyFill="1" applyAlignment="1">
      <alignment horizontal="center"/>
    </xf>
    <xf numFmtId="44" fontId="5" fillId="5" borderId="0" xfId="3" applyFont="1" applyFill="1" applyBorder="1" applyAlignment="1" applyProtection="1">
      <alignment horizontal="center"/>
    </xf>
    <xf numFmtId="44" fontId="5" fillId="5" borderId="0" xfId="3" applyFont="1" applyFill="1" applyBorder="1" applyAlignment="1" applyProtection="1"/>
    <xf numFmtId="0" fontId="28" fillId="0" borderId="0" xfId="0" applyFont="1"/>
    <xf numFmtId="0" fontId="5" fillId="5" borderId="0" xfId="0" applyFont="1" applyFill="1"/>
    <xf numFmtId="0" fontId="5" fillId="5" borderId="0" xfId="0" applyFont="1" applyFill="1" applyAlignment="1">
      <alignment horizontal="right"/>
    </xf>
    <xf numFmtId="166" fontId="5" fillId="5" borderId="0" xfId="2" applyNumberFormat="1" applyFont="1" applyFill="1" applyBorder="1" applyAlignment="1" applyProtection="1"/>
    <xf numFmtId="166" fontId="5" fillId="5" borderId="0" xfId="2" applyNumberFormat="1" applyFont="1" applyFill="1" applyBorder="1" applyAlignment="1" applyProtection="1">
      <alignment horizontal="center"/>
    </xf>
    <xf numFmtId="166" fontId="5" fillId="5" borderId="0" xfId="0" applyNumberFormat="1" applyFont="1" applyFill="1" applyAlignment="1">
      <alignment horizontal="center"/>
    </xf>
    <xf numFmtId="166" fontId="27" fillId="5" borderId="0" xfId="2" applyNumberFormat="1" applyFont="1" applyFill="1" applyBorder="1" applyAlignment="1" applyProtection="1">
      <alignment horizontal="center"/>
    </xf>
    <xf numFmtId="0" fontId="25" fillId="5" borderId="0" xfId="0" applyFont="1" applyFill="1" applyAlignment="1">
      <alignment horizontal="left"/>
    </xf>
    <xf numFmtId="44" fontId="5" fillId="5" borderId="0" xfId="3" applyFont="1" applyFill="1" applyBorder="1" applyAlignment="1" applyProtection="1">
      <alignment horizontal="right"/>
    </xf>
    <xf numFmtId="44" fontId="0" fillId="0" borderId="0" xfId="3" applyFont="1" applyAlignment="1" applyProtection="1">
      <alignment horizontal="center"/>
    </xf>
    <xf numFmtId="164" fontId="13" fillId="0" borderId="0" xfId="1" applyNumberFormat="1" applyFont="1" applyAlignment="1">
      <alignment horizontal="right"/>
    </xf>
    <xf numFmtId="0" fontId="8" fillId="0" borderId="12" xfId="1" applyFont="1" applyBorder="1"/>
    <xf numFmtId="0" fontId="11" fillId="0" borderId="0" xfId="1" applyFont="1" applyAlignment="1">
      <alignment horizontal="right"/>
    </xf>
    <xf numFmtId="39" fontId="11" fillId="0" borderId="0" xfId="1" applyNumberFormat="1" applyFont="1" applyAlignment="1">
      <alignment horizontal="right"/>
    </xf>
    <xf numFmtId="166" fontId="8" fillId="0" borderId="0" xfId="2" applyNumberFormat="1" applyFont="1" applyFill="1" applyBorder="1" applyAlignment="1" applyProtection="1"/>
    <xf numFmtId="40" fontId="11" fillId="0" borderId="13" xfId="1" applyNumberFormat="1" applyFont="1" applyBorder="1" applyAlignment="1">
      <alignment horizontal="right"/>
    </xf>
    <xf numFmtId="2" fontId="12" fillId="0" borderId="0" xfId="1" applyNumberFormat="1" applyFont="1" applyAlignment="1">
      <alignment horizontal="left"/>
    </xf>
    <xf numFmtId="40" fontId="11" fillId="0" borderId="12" xfId="1" applyNumberFormat="1" applyFont="1" applyBorder="1" applyAlignment="1">
      <alignment horizontal="right"/>
    </xf>
    <xf numFmtId="40" fontId="31" fillId="0" borderId="12" xfId="1" applyNumberFormat="1" applyFont="1" applyBorder="1" applyAlignment="1">
      <alignment horizontal="right"/>
    </xf>
    <xf numFmtId="2" fontId="8" fillId="0" borderId="14" xfId="1" applyNumberFormat="1" applyFont="1" applyBorder="1" applyAlignment="1">
      <alignment horizontal="left"/>
    </xf>
    <xf numFmtId="40" fontId="11" fillId="0" borderId="5" xfId="1" applyNumberFormat="1" applyFont="1" applyBorder="1" applyAlignment="1">
      <alignment horizontal="right"/>
    </xf>
    <xf numFmtId="2" fontId="13" fillId="0" borderId="21" xfId="0" applyNumberFormat="1" applyFont="1" applyBorder="1" applyAlignment="1">
      <alignment horizontal="left"/>
    </xf>
    <xf numFmtId="2" fontId="13" fillId="0" borderId="21" xfId="0" applyNumberFormat="1" applyFont="1" applyBorder="1" applyAlignment="1">
      <alignment horizontal="right"/>
    </xf>
    <xf numFmtId="2" fontId="13" fillId="0" borderId="21" xfId="0" applyNumberFormat="1" applyFont="1" applyBorder="1"/>
    <xf numFmtId="0" fontId="13" fillId="0" borderId="21" xfId="1" applyFont="1" applyBorder="1"/>
    <xf numFmtId="1" fontId="13" fillId="0" borderId="0" xfId="1" applyNumberFormat="1" applyFont="1" applyAlignment="1">
      <alignment horizontal="right"/>
    </xf>
    <xf numFmtId="166" fontId="13" fillId="0" borderId="0" xfId="1" applyNumberFormat="1" applyFont="1" applyAlignment="1">
      <alignment horizontal="right"/>
    </xf>
    <xf numFmtId="168" fontId="13" fillId="0" borderId="0" xfId="5" applyNumberFormat="1" applyFont="1" applyAlignment="1" applyProtection="1">
      <alignment horizontal="right"/>
    </xf>
    <xf numFmtId="4" fontId="13" fillId="0" borderId="15" xfId="1" applyNumberFormat="1" applyFont="1" applyBorder="1"/>
    <xf numFmtId="168" fontId="13" fillId="0" borderId="1" xfId="5" applyNumberFormat="1" applyFont="1" applyBorder="1" applyAlignment="1" applyProtection="1">
      <alignment horizontal="right"/>
    </xf>
    <xf numFmtId="4" fontId="13" fillId="0" borderId="1" xfId="1" applyNumberFormat="1" applyFont="1" applyBorder="1"/>
    <xf numFmtId="4" fontId="16" fillId="0" borderId="0" xfId="1" applyNumberFormat="1" applyFont="1"/>
    <xf numFmtId="2" fontId="42" fillId="0" borderId="0" xfId="0" applyNumberFormat="1" applyFont="1" applyAlignment="1">
      <alignment horizontal="left"/>
    </xf>
    <xf numFmtId="40" fontId="13" fillId="0" borderId="15" xfId="0" applyNumberFormat="1" applyFont="1" applyBorder="1" applyAlignment="1">
      <alignment horizontal="right"/>
    </xf>
    <xf numFmtId="40" fontId="13" fillId="0" borderId="0" xfId="0" applyNumberFormat="1" applyFont="1" applyAlignment="1">
      <alignment horizontal="right"/>
    </xf>
    <xf numFmtId="40" fontId="13" fillId="0" borderId="1" xfId="0" applyNumberFormat="1" applyFont="1" applyBorder="1" applyAlignment="1">
      <alignment horizontal="right"/>
    </xf>
    <xf numFmtId="0" fontId="10" fillId="0" borderId="0" xfId="1" applyFont="1" applyAlignment="1">
      <alignment horizontal="left"/>
    </xf>
    <xf numFmtId="0" fontId="8" fillId="0" borderId="11" xfId="1" applyFont="1" applyBorder="1" applyAlignment="1">
      <alignment horizontal="left"/>
    </xf>
    <xf numFmtId="40" fontId="8" fillId="0" borderId="0" xfId="1" applyNumberFormat="1" applyFont="1" applyAlignment="1">
      <alignment horizontal="right"/>
    </xf>
    <xf numFmtId="40" fontId="2" fillId="0" borderId="13" xfId="1" applyNumberFormat="1" applyFont="1" applyBorder="1" applyAlignment="1">
      <alignment horizontal="right"/>
    </xf>
    <xf numFmtId="2" fontId="8" fillId="0" borderId="16" xfId="1" applyNumberFormat="1" applyFont="1" applyBorder="1" applyAlignment="1">
      <alignment horizontal="left"/>
    </xf>
    <xf numFmtId="2" fontId="8" fillId="0" borderId="15" xfId="1" applyNumberFormat="1" applyFont="1" applyBorder="1" applyAlignment="1">
      <alignment horizontal="right"/>
    </xf>
    <xf numFmtId="40" fontId="2" fillId="0" borderId="17" xfId="1" applyNumberFormat="1" applyFont="1" applyBorder="1" applyAlignment="1">
      <alignment horizontal="right"/>
    </xf>
    <xf numFmtId="40" fontId="2" fillId="0" borderId="12" xfId="1" applyNumberFormat="1" applyFont="1" applyBorder="1" applyAlignment="1">
      <alignment horizontal="right"/>
    </xf>
    <xf numFmtId="40" fontId="2" fillId="0" borderId="5" xfId="1" applyNumberFormat="1" applyFont="1" applyBorder="1" applyAlignment="1">
      <alignment horizontal="right"/>
    </xf>
    <xf numFmtId="0" fontId="2" fillId="0" borderId="0" xfId="1" applyFont="1" applyAlignment="1">
      <alignment horizontal="right"/>
    </xf>
    <xf numFmtId="4" fontId="2" fillId="0" borderId="0" xfId="1" applyNumberFormat="1" applyFont="1" applyAlignment="1">
      <alignment horizontal="right"/>
    </xf>
    <xf numFmtId="0" fontId="11" fillId="0" borderId="0" xfId="1" applyFont="1"/>
    <xf numFmtId="2" fontId="11" fillId="0" borderId="0" xfId="1" applyNumberFormat="1" applyFont="1" applyAlignment="1">
      <alignment horizontal="right"/>
    </xf>
    <xf numFmtId="40" fontId="2" fillId="0" borderId="12" xfId="1" applyNumberFormat="1" applyFont="1" applyBorder="1" applyAlignment="1">
      <alignment horizontal="left"/>
    </xf>
    <xf numFmtId="2" fontId="12" fillId="0" borderId="1" xfId="1" applyNumberFormat="1" applyFont="1" applyBorder="1" applyAlignment="1">
      <alignment horizontal="right"/>
    </xf>
    <xf numFmtId="2" fontId="12" fillId="0" borderId="1" xfId="1" applyNumberFormat="1" applyFont="1" applyBorder="1"/>
    <xf numFmtId="168" fontId="13" fillId="0" borderId="0" xfId="5" applyNumberFormat="1" applyFont="1" applyBorder="1" applyAlignment="1" applyProtection="1">
      <alignment horizontal="right"/>
    </xf>
    <xf numFmtId="0" fontId="8" fillId="0" borderId="1" xfId="1" applyFont="1" applyBorder="1"/>
    <xf numFmtId="166" fontId="7" fillId="0" borderId="0" xfId="2" applyNumberFormat="1" applyFont="1" applyFill="1" applyBorder="1" applyAlignment="1" applyProtection="1"/>
    <xf numFmtId="168" fontId="13" fillId="0" borderId="0" xfId="5" applyNumberFormat="1" applyFont="1" applyProtection="1"/>
    <xf numFmtId="166" fontId="13" fillId="0" borderId="0" xfId="1" applyNumberFormat="1" applyFont="1"/>
    <xf numFmtId="0" fontId="32" fillId="0" borderId="1" xfId="0" applyFont="1" applyBorder="1" applyAlignment="1">
      <alignment horizontal="center"/>
    </xf>
    <xf numFmtId="164" fontId="8" fillId="0" borderId="0" xfId="1" applyNumberFormat="1" applyFont="1" applyAlignment="1">
      <alignment horizontal="right"/>
    </xf>
    <xf numFmtId="0" fontId="10" fillId="0" borderId="11" xfId="1" applyFont="1" applyBorder="1" applyAlignment="1">
      <alignment horizontal="left"/>
    </xf>
    <xf numFmtId="2" fontId="8" fillId="0" borderId="12" xfId="1" applyNumberFormat="1" applyFont="1" applyBorder="1" applyAlignment="1">
      <alignment horizontal="left"/>
    </xf>
    <xf numFmtId="169" fontId="8" fillId="0" borderId="0" xfId="1" applyNumberFormat="1" applyFont="1" applyAlignment="1">
      <alignment horizontal="right"/>
    </xf>
    <xf numFmtId="1" fontId="8" fillId="0" borderId="0" xfId="1" applyNumberFormat="1" applyFont="1" applyAlignment="1">
      <alignment horizontal="right"/>
    </xf>
    <xf numFmtId="2" fontId="9" fillId="0" borderId="9" xfId="1" applyNumberFormat="1" applyFont="1" applyBorder="1" applyAlignment="1">
      <alignment horizontal="left"/>
    </xf>
    <xf numFmtId="2" fontId="8" fillId="0" borderId="10" xfId="1" applyNumberFormat="1" applyFont="1" applyBorder="1"/>
    <xf numFmtId="8" fontId="8" fillId="0" borderId="5" xfId="1" applyNumberFormat="1" applyFont="1" applyBorder="1" applyAlignment="1">
      <alignment horizontal="right"/>
    </xf>
    <xf numFmtId="169" fontId="13" fillId="0" borderId="0" xfId="1" applyNumberFormat="1" applyFont="1"/>
    <xf numFmtId="165" fontId="13" fillId="0" borderId="0" xfId="1" applyNumberFormat="1" applyFont="1"/>
    <xf numFmtId="44" fontId="16" fillId="0" borderId="0" xfId="1" applyNumberFormat="1" applyFont="1"/>
    <xf numFmtId="0" fontId="8" fillId="0" borderId="6" xfId="1" applyFont="1" applyBorder="1" applyAlignment="1">
      <alignment horizontal="left"/>
    </xf>
    <xf numFmtId="0" fontId="8" fillId="0" borderId="7" xfId="1" applyFont="1" applyBorder="1" applyAlignment="1">
      <alignment horizontal="right"/>
    </xf>
    <xf numFmtId="0" fontId="8" fillId="0" borderId="7" xfId="1" applyFont="1" applyBorder="1"/>
    <xf numFmtId="2" fontId="8" fillId="0" borderId="7" xfId="1" applyNumberFormat="1" applyFont="1" applyBorder="1" applyAlignment="1">
      <alignment horizontal="right"/>
    </xf>
    <xf numFmtId="2" fontId="9" fillId="0" borderId="8" xfId="1" applyNumberFormat="1" applyFont="1" applyBorder="1" applyAlignment="1">
      <alignment horizontal="right"/>
    </xf>
    <xf numFmtId="4" fontId="11" fillId="0" borderId="0" xfId="1" applyNumberFormat="1" applyFont="1" applyAlignment="1">
      <alignment horizontal="right"/>
    </xf>
    <xf numFmtId="3" fontId="7" fillId="0" borderId="0" xfId="1" applyNumberFormat="1" applyFont="1"/>
    <xf numFmtId="2" fontId="7" fillId="0" borderId="0" xfId="1" applyNumberFormat="1" applyFont="1" applyAlignment="1">
      <alignment horizontal="right"/>
    </xf>
    <xf numFmtId="2" fontId="7" fillId="0" borderId="0" xfId="1" applyNumberFormat="1" applyFont="1"/>
    <xf numFmtId="167" fontId="7" fillId="0" borderId="0" xfId="1" applyNumberFormat="1" applyFont="1" applyAlignment="1">
      <alignment horizontal="right"/>
    </xf>
    <xf numFmtId="2" fontId="10" fillId="0" borderId="6" xfId="1" applyNumberFormat="1" applyFont="1" applyBorder="1" applyAlignment="1">
      <alignment horizontal="left"/>
    </xf>
    <xf numFmtId="2" fontId="8" fillId="0" borderId="8" xfId="1" applyNumberFormat="1" applyFont="1" applyBorder="1" applyAlignment="1">
      <alignment horizontal="left"/>
    </xf>
    <xf numFmtId="40" fontId="8" fillId="0" borderId="5" xfId="1" applyNumberFormat="1" applyFont="1" applyBorder="1" applyAlignment="1">
      <alignment horizontal="right"/>
    </xf>
    <xf numFmtId="2" fontId="13" fillId="0" borderId="0" xfId="1" applyNumberFormat="1" applyFont="1" applyAlignment="1">
      <alignment horizontal="left"/>
    </xf>
    <xf numFmtId="167" fontId="13" fillId="0" borderId="1" xfId="1" applyNumberFormat="1" applyFont="1" applyBorder="1"/>
    <xf numFmtId="0" fontId="33" fillId="6" borderId="0" xfId="0" applyFont="1" applyFill="1" applyProtection="1">
      <protection locked="0"/>
    </xf>
    <xf numFmtId="0" fontId="33" fillId="6" borderId="1" xfId="0" applyFont="1" applyFill="1" applyBorder="1" applyProtection="1">
      <protection locked="0"/>
    </xf>
    <xf numFmtId="4" fontId="33" fillId="0" borderId="0" xfId="0" applyNumberFormat="1" applyFont="1"/>
    <xf numFmtId="0" fontId="32" fillId="0" borderId="15" xfId="0" applyFont="1" applyBorder="1" applyAlignment="1">
      <alignment horizontal="center"/>
    </xf>
    <xf numFmtId="0" fontId="33" fillId="0" borderId="1" xfId="0" applyFont="1" applyBorder="1"/>
    <xf numFmtId="4" fontId="33" fillId="0" borderId="1" xfId="0" applyNumberFormat="1" applyFont="1" applyBorder="1"/>
    <xf numFmtId="40" fontId="33" fillId="0" borderId="1" xfId="0" applyNumberFormat="1" applyFont="1" applyBorder="1"/>
    <xf numFmtId="0" fontId="32" fillId="0" borderId="0" xfId="0" applyFont="1" applyAlignment="1">
      <alignment horizontal="right" wrapText="1"/>
    </xf>
    <xf numFmtId="4" fontId="33" fillId="6" borderId="0" xfId="0" applyNumberFormat="1" applyFont="1" applyFill="1" applyProtection="1">
      <protection locked="0"/>
    </xf>
    <xf numFmtId="40" fontId="33" fillId="6" borderId="1" xfId="0" applyNumberFormat="1" applyFont="1" applyFill="1" applyBorder="1" applyProtection="1">
      <protection locked="0"/>
    </xf>
    <xf numFmtId="4" fontId="33" fillId="6" borderId="1" xfId="0" applyNumberFormat="1" applyFont="1" applyFill="1" applyBorder="1" applyProtection="1">
      <protection locked="0"/>
    </xf>
    <xf numFmtId="0" fontId="23" fillId="3" borderId="3" xfId="6" applyFont="1" applyFill="1" applyBorder="1" applyAlignment="1">
      <alignment horizontal="center"/>
    </xf>
    <xf numFmtId="0" fontId="23" fillId="3" borderId="4" xfId="6" applyFont="1" applyFill="1" applyBorder="1" applyAlignment="1">
      <alignment horizontal="center"/>
    </xf>
    <xf numFmtId="0" fontId="23" fillId="3" borderId="25" xfId="6" applyFont="1" applyFill="1" applyBorder="1" applyAlignment="1">
      <alignment horizontal="center"/>
    </xf>
    <xf numFmtId="0" fontId="18" fillId="8" borderId="0" xfId="0" applyFont="1" applyFill="1" applyAlignment="1">
      <alignment horizontal="right"/>
    </xf>
    <xf numFmtId="0" fontId="18" fillId="8" borderId="0" xfId="0" applyFont="1" applyFill="1"/>
    <xf numFmtId="0" fontId="21" fillId="8" borderId="0" xfId="0" applyFont="1" applyFill="1" applyAlignment="1">
      <alignment horizontal="center" wrapText="1"/>
    </xf>
    <xf numFmtId="0" fontId="19" fillId="3" borderId="3" xfId="0" applyFont="1" applyFill="1" applyBorder="1"/>
    <xf numFmtId="0" fontId="19" fillId="3" borderId="4" xfId="0" applyFont="1" applyFill="1" applyBorder="1"/>
    <xf numFmtId="0" fontId="22" fillId="8" borderId="0" xfId="0" applyFont="1" applyFill="1" applyAlignment="1">
      <alignment horizontal="left" vertical="center" wrapText="1"/>
    </xf>
    <xf numFmtId="0" fontId="24" fillId="2" borderId="18" xfId="4" applyFont="1" applyBorder="1" applyAlignment="1">
      <alignment horizontal="center"/>
    </xf>
    <xf numFmtId="0" fontId="24" fillId="2" borderId="19" xfId="4" applyFont="1" applyBorder="1" applyAlignment="1">
      <alignment horizontal="center"/>
    </xf>
    <xf numFmtId="0" fontId="24" fillId="2" borderId="20" xfId="4" applyFont="1" applyBorder="1" applyAlignment="1">
      <alignment horizontal="center"/>
    </xf>
    <xf numFmtId="0" fontId="3" fillId="0" borderId="15" xfId="0" applyFont="1" applyBorder="1" applyAlignment="1">
      <alignment horizontal="center" wrapText="1"/>
    </xf>
    <xf numFmtId="0" fontId="3" fillId="0" borderId="1" xfId="0" applyFont="1" applyBorder="1" applyAlignment="1">
      <alignment horizontal="center" wrapText="1"/>
    </xf>
    <xf numFmtId="0" fontId="26" fillId="0" borderId="15" xfId="0" applyFont="1" applyBorder="1" applyAlignment="1">
      <alignment horizontal="left"/>
    </xf>
    <xf numFmtId="0" fontId="26" fillId="0" borderId="1" xfId="0" applyFont="1" applyBorder="1" applyAlignment="1">
      <alignment horizontal="left"/>
    </xf>
    <xf numFmtId="0" fontId="3" fillId="0" borderId="15" xfId="0" applyFont="1" applyBorder="1" applyAlignment="1">
      <alignment horizontal="left"/>
    </xf>
    <xf numFmtId="0" fontId="3" fillId="0" borderId="1" xfId="0" applyFont="1" applyBorder="1" applyAlignment="1">
      <alignment horizontal="left"/>
    </xf>
    <xf numFmtId="0" fontId="3" fillId="0" borderId="15" xfId="0" applyFont="1" applyBorder="1" applyAlignment="1">
      <alignment horizontal="center"/>
    </xf>
    <xf numFmtId="0" fontId="23" fillId="3" borderId="6" xfId="6" applyFont="1" applyFill="1" applyBorder="1" applyAlignment="1">
      <alignment horizontal="left"/>
    </xf>
    <xf numFmtId="0" fontId="23" fillId="3" borderId="7" xfId="6" applyFont="1" applyFill="1" applyBorder="1" applyAlignment="1">
      <alignment horizontal="left"/>
    </xf>
    <xf numFmtId="0" fontId="3" fillId="0" borderId="1" xfId="0" applyFont="1" applyBorder="1" applyAlignment="1">
      <alignment horizontal="center"/>
    </xf>
    <xf numFmtId="0" fontId="23" fillId="3" borderId="6" xfId="6" applyFont="1" applyFill="1" applyBorder="1" applyAlignment="1">
      <alignment horizontal="center"/>
    </xf>
    <xf numFmtId="0" fontId="23" fillId="3" borderId="7" xfId="6" applyFont="1" applyFill="1" applyBorder="1" applyAlignment="1">
      <alignment horizontal="center"/>
    </xf>
    <xf numFmtId="0" fontId="23" fillId="3" borderId="8" xfId="6" applyFont="1" applyFill="1" applyBorder="1" applyAlignment="1">
      <alignment horizontal="center"/>
    </xf>
    <xf numFmtId="4" fontId="13" fillId="0" borderId="0" xfId="1" applyNumberFormat="1" applyFont="1" applyAlignment="1">
      <alignment horizontal="right"/>
    </xf>
    <xf numFmtId="0" fontId="13" fillId="0" borderId="1" xfId="1" applyFont="1" applyBorder="1" applyAlignment="1">
      <alignment horizontal="left"/>
    </xf>
    <xf numFmtId="0" fontId="13" fillId="0" borderId="15" xfId="1" applyFont="1" applyBorder="1" applyAlignment="1">
      <alignment horizontal="left"/>
    </xf>
    <xf numFmtId="0" fontId="13" fillId="0" borderId="0" xfId="1" applyFont="1" applyAlignment="1">
      <alignment horizontal="left"/>
    </xf>
    <xf numFmtId="0" fontId="17" fillId="0" borderId="1" xfId="1" applyFont="1" applyBorder="1" applyAlignment="1">
      <alignment horizontal="left"/>
    </xf>
    <xf numFmtId="0" fontId="17" fillId="0" borderId="15" xfId="1" applyFont="1" applyBorder="1" applyAlignment="1">
      <alignment horizontal="left"/>
    </xf>
    <xf numFmtId="0" fontId="32" fillId="0" borderId="1" xfId="0" applyFont="1" applyBorder="1" applyAlignment="1">
      <alignment horizontal="center"/>
    </xf>
    <xf numFmtId="0" fontId="32" fillId="0" borderId="15" xfId="0" applyFont="1" applyBorder="1" applyAlignment="1">
      <alignment horizontal="left"/>
    </xf>
    <xf numFmtId="0" fontId="32" fillId="0" borderId="1" xfId="0" applyFont="1" applyBorder="1" applyAlignment="1">
      <alignment horizontal="left"/>
    </xf>
    <xf numFmtId="0" fontId="32" fillId="0" borderId="15" xfId="0" applyFont="1" applyBorder="1" applyAlignment="1">
      <alignment horizontal="center"/>
    </xf>
    <xf numFmtId="0" fontId="32" fillId="0" borderId="15" xfId="0" applyFont="1" applyBorder="1" applyAlignment="1">
      <alignment horizontal="center" wrapText="1"/>
    </xf>
    <xf numFmtId="0" fontId="32" fillId="0" borderId="1" xfId="0" applyFont="1" applyBorder="1" applyAlignment="1">
      <alignment horizontal="center" wrapText="1"/>
    </xf>
  </cellXfs>
  <cellStyles count="7">
    <cellStyle name="Comma" xfId="5" builtinId="3"/>
    <cellStyle name="Currency" xfId="3" builtinId="4"/>
    <cellStyle name="Normal" xfId="0" builtinId="0"/>
    <cellStyle name="Normal 2" xfId="1" xr:uid="{00000000-0005-0000-0000-000001000000}"/>
    <cellStyle name="Normal 2 2" xfId="6" xr:uid="{89C8AF6F-0153-4530-901E-6E7955900719}"/>
    <cellStyle name="Output" xfId="4" builtinId="21"/>
    <cellStyle name="Percent" xfId="2" builtinId="5"/>
  </cellStyles>
  <dxfs count="109">
    <dxf>
      <font>
        <strike val="0"/>
        <color theme="0"/>
      </font>
    </dxf>
    <dxf>
      <font>
        <strike val="0"/>
        <color theme="0"/>
      </font>
    </dxf>
    <dxf>
      <font>
        <b val="0"/>
        <i/>
        <condense val="0"/>
        <extend val="0"/>
      </font>
    </dxf>
    <dxf>
      <font>
        <b val="0"/>
        <i/>
        <condense val="0"/>
        <extend val="0"/>
      </font>
    </dxf>
    <dxf>
      <font>
        <b val="0"/>
        <i/>
        <condense val="0"/>
        <extend val="0"/>
      </font>
    </dxf>
    <dxf>
      <font>
        <strike val="0"/>
        <color theme="0"/>
      </font>
    </dxf>
    <dxf>
      <font>
        <strike val="0"/>
        <color theme="0"/>
      </font>
      <fill>
        <patternFill patternType="none">
          <bgColor auto="1"/>
        </patternFill>
      </fill>
    </dxf>
    <dxf>
      <font>
        <strike val="0"/>
        <color theme="0"/>
      </font>
    </dxf>
    <dxf>
      <font>
        <b val="0"/>
        <i/>
        <condense val="0"/>
        <extend val="0"/>
      </font>
    </dxf>
    <dxf>
      <font>
        <b val="0"/>
        <i/>
        <condense val="0"/>
        <extend val="0"/>
      </font>
    </dxf>
    <dxf>
      <font>
        <strike val="0"/>
        <color theme="0"/>
      </font>
    </dxf>
    <dxf>
      <font>
        <strike val="0"/>
        <color theme="0"/>
      </font>
      <fill>
        <patternFill patternType="none">
          <bgColor auto="1"/>
        </patternFill>
      </fill>
    </dxf>
    <dxf>
      <font>
        <strike val="0"/>
        <color theme="0"/>
      </font>
    </dxf>
    <dxf>
      <font>
        <b val="0"/>
        <i/>
        <condense val="0"/>
        <extend val="0"/>
      </font>
    </dxf>
    <dxf>
      <font>
        <b val="0"/>
        <i/>
        <condense val="0"/>
        <extend val="0"/>
      </font>
    </dxf>
    <dxf>
      <font>
        <strike val="0"/>
        <color theme="0"/>
      </font>
    </dxf>
    <dxf>
      <font>
        <color theme="2" tint="-0.749961851863155"/>
      </font>
      <fill>
        <patternFill patternType="none">
          <bgColor auto="1"/>
        </patternFill>
      </fill>
    </dxf>
    <dxf>
      <font>
        <strike val="0"/>
        <color theme="0"/>
      </font>
    </dxf>
    <dxf>
      <font>
        <b val="0"/>
        <i/>
        <condense val="0"/>
        <extend val="0"/>
      </font>
    </dxf>
    <dxf>
      <font>
        <b val="0"/>
        <i/>
        <condense val="0"/>
        <extend val="0"/>
      </font>
    </dxf>
    <dxf>
      <font>
        <b val="0"/>
        <i/>
        <condense val="0"/>
        <extend val="0"/>
      </font>
    </dxf>
    <dxf>
      <font>
        <b val="0"/>
        <i/>
        <condense val="0"/>
        <extend val="0"/>
      </font>
    </dxf>
    <dxf>
      <font>
        <strike val="0"/>
        <color theme="0"/>
      </font>
    </dxf>
    <dxf>
      <font>
        <color theme="0"/>
      </font>
      <fill>
        <patternFill patternType="none">
          <bgColor auto="1"/>
        </patternFill>
      </fill>
    </dxf>
    <dxf>
      <font>
        <strike val="0"/>
        <color theme="0"/>
      </font>
    </dxf>
    <dxf>
      <font>
        <b val="0"/>
        <i/>
        <condense val="0"/>
        <extend val="0"/>
      </font>
    </dxf>
    <dxf>
      <font>
        <b val="0"/>
        <i/>
        <condense val="0"/>
        <extend val="0"/>
      </font>
    </dxf>
    <dxf>
      <font>
        <b val="0"/>
        <i/>
        <condense val="0"/>
        <extend val="0"/>
      </font>
    </dxf>
    <dxf>
      <font>
        <b val="0"/>
        <i/>
        <condense val="0"/>
        <extend val="0"/>
      </font>
    </dxf>
    <dxf>
      <font>
        <strike val="0"/>
        <color theme="0"/>
      </font>
    </dxf>
    <dxf>
      <font>
        <strike val="0"/>
        <color theme="0"/>
      </font>
      <numFmt numFmtId="2" formatCode="0.00"/>
      <fill>
        <patternFill patternType="none">
          <bgColor auto="1"/>
        </patternFill>
      </fill>
    </dxf>
    <dxf>
      <font>
        <strike val="0"/>
        <color theme="0"/>
      </font>
    </dxf>
    <dxf>
      <font>
        <b val="0"/>
        <i/>
        <condense val="0"/>
        <extend val="0"/>
      </font>
    </dxf>
    <dxf>
      <font>
        <b val="0"/>
        <i/>
        <condense val="0"/>
        <extend val="0"/>
      </font>
    </dxf>
    <dxf>
      <font>
        <b val="0"/>
        <i/>
        <condense val="0"/>
        <extend val="0"/>
      </font>
    </dxf>
    <dxf>
      <font>
        <b val="0"/>
        <i/>
        <condense val="0"/>
        <extend val="0"/>
      </font>
    </dxf>
    <dxf>
      <font>
        <strike val="0"/>
        <color theme="0"/>
      </font>
    </dxf>
    <dxf>
      <font>
        <strike val="0"/>
        <color theme="0"/>
      </font>
    </dxf>
    <dxf>
      <font>
        <b val="0"/>
        <i/>
        <condense val="0"/>
        <extend val="0"/>
      </font>
    </dxf>
    <dxf>
      <font>
        <strike val="0"/>
        <outline val="0"/>
        <shadow val="0"/>
        <u val="none"/>
        <vertAlign val="baseline"/>
        <sz val="10"/>
        <name val="Segoe UI"/>
        <family val="2"/>
        <scheme val="none"/>
      </font>
      <fill>
        <patternFill patternType="solid">
          <fgColor indexed="64"/>
          <bgColor theme="2"/>
        </patternFill>
      </fill>
    </dxf>
    <dxf>
      <font>
        <strike val="0"/>
        <outline val="0"/>
        <shadow val="0"/>
        <u val="none"/>
        <vertAlign val="baseline"/>
        <sz val="10"/>
        <name val="Segoe UI"/>
        <family val="2"/>
        <scheme val="none"/>
      </font>
      <numFmt numFmtId="12" formatCode="&quot;$&quot;#,##0.00_);[Red]\(&quot;$&quot;#,##0.00\)"/>
      <fill>
        <patternFill patternType="solid">
          <fgColor indexed="64"/>
          <bgColor theme="2"/>
        </patternFill>
      </fill>
    </dxf>
    <dxf>
      <font>
        <strike val="0"/>
        <outline val="0"/>
        <shadow val="0"/>
        <u val="none"/>
        <vertAlign val="baseline"/>
        <sz val="10"/>
        <name val="Segoe UI"/>
        <family val="2"/>
        <scheme val="none"/>
      </font>
      <fill>
        <patternFill patternType="solid">
          <fgColor indexed="64"/>
          <bgColor theme="2"/>
        </patternFill>
      </fill>
    </dxf>
    <dxf>
      <font>
        <strike val="0"/>
        <outline val="0"/>
        <shadow val="0"/>
        <u val="none"/>
        <vertAlign val="baseline"/>
        <sz val="10"/>
        <name val="Segoe UI"/>
        <family val="2"/>
        <scheme val="none"/>
      </font>
      <fill>
        <patternFill patternType="solid">
          <fgColor indexed="64"/>
          <bgColor theme="2"/>
        </patternFill>
      </fill>
    </dxf>
    <dxf>
      <font>
        <b/>
        <i val="0"/>
        <strike val="0"/>
        <condense val="0"/>
        <extend val="0"/>
        <outline val="0"/>
        <shadow val="0"/>
        <u val="none"/>
        <vertAlign val="baseline"/>
        <sz val="10"/>
        <color rgb="FFF1B82D"/>
        <name val="Segoe UI"/>
        <family val="2"/>
        <scheme val="none"/>
      </font>
      <fill>
        <patternFill patternType="none">
          <fgColor indexed="64"/>
          <bgColor auto="1"/>
        </patternFill>
      </fill>
      <alignment horizontal="general" vertical="bottom" textRotation="0" wrapText="0" indent="0" justifyLastLine="0" shrinkToFit="0" readingOrder="0"/>
    </dxf>
    <dxf>
      <font>
        <strike val="0"/>
        <outline val="0"/>
        <shadow val="0"/>
        <u val="none"/>
        <vertAlign val="baseline"/>
        <sz val="10"/>
        <name val="Segoe UI"/>
        <family val="2"/>
        <scheme val="none"/>
      </font>
      <numFmt numFmtId="12" formatCode="&quot;$&quot;#,##0.00_);[Red]\(&quot;$&quot;#,##0.00\)"/>
    </dxf>
    <dxf>
      <font>
        <strike val="0"/>
        <outline val="0"/>
        <shadow val="0"/>
        <u val="none"/>
        <vertAlign val="baseline"/>
        <sz val="10"/>
        <name val="Segoe UI"/>
        <family val="2"/>
        <scheme val="none"/>
      </font>
      <numFmt numFmtId="12" formatCode="&quot;$&quot;#,##0.00_);[Red]\(&quot;$&quot;#,##0.00\)"/>
    </dxf>
    <dxf>
      <font>
        <strike val="0"/>
        <outline val="0"/>
        <shadow val="0"/>
        <u val="none"/>
        <vertAlign val="baseline"/>
        <sz val="10"/>
        <name val="Segoe UI"/>
        <family val="2"/>
        <scheme val="none"/>
      </font>
      <numFmt numFmtId="12" formatCode="&quot;$&quot;#,##0.00_);[Red]\(&quot;$&quot;#,##0.00\)"/>
    </dxf>
    <dxf>
      <font>
        <strike val="0"/>
        <outline val="0"/>
        <shadow val="0"/>
        <u val="none"/>
        <vertAlign val="baseline"/>
        <sz val="10"/>
        <name val="Segoe UI"/>
        <family val="2"/>
        <scheme val="none"/>
      </font>
      <numFmt numFmtId="170" formatCode="#,##0.000"/>
    </dxf>
    <dxf>
      <font>
        <b val="0"/>
        <i val="0"/>
        <strike val="0"/>
        <condense val="0"/>
        <extend val="0"/>
        <outline val="0"/>
        <shadow val="0"/>
        <u val="none"/>
        <vertAlign val="baseline"/>
        <sz val="10"/>
        <color auto="1"/>
        <name val="Segoe UI"/>
        <family val="2"/>
        <scheme val="none"/>
      </font>
      <numFmt numFmtId="12" formatCode="&quot;$&quot;#,##0.00_);[Red]\(&quot;$&quot;#,##0.00\)"/>
      <fill>
        <patternFill patternType="none">
          <fgColor indexed="64"/>
          <bgColor indexed="65"/>
        </patternFill>
      </fill>
    </dxf>
    <dxf>
      <font>
        <b val="0"/>
        <i val="0"/>
        <strike val="0"/>
        <condense val="0"/>
        <extend val="0"/>
        <outline val="0"/>
        <shadow val="0"/>
        <u val="none"/>
        <vertAlign val="baseline"/>
        <sz val="10"/>
        <color auto="1"/>
        <name val="Segoe UI"/>
        <family val="2"/>
        <scheme val="none"/>
      </font>
      <numFmt numFmtId="12" formatCode="&quot;$&quot;#,##0.00_);[Red]\(&quot;$&quot;#,##0.00\)"/>
      <fill>
        <patternFill patternType="none">
          <fgColor indexed="64"/>
          <bgColor indexed="65"/>
        </patternFill>
      </fill>
    </dxf>
    <dxf>
      <font>
        <b val="0"/>
        <i val="0"/>
        <strike val="0"/>
        <condense val="0"/>
        <extend val="0"/>
        <outline val="0"/>
        <shadow val="0"/>
        <u val="none"/>
        <vertAlign val="baseline"/>
        <sz val="10"/>
        <color auto="1"/>
        <name val="Segoe UI"/>
        <family val="2"/>
        <scheme val="none"/>
      </font>
      <numFmt numFmtId="35" formatCode="_(* #,##0.00_);_(* \(#,##0.00\);_(* &quot;-&quot;??_);_(@_)"/>
      <fill>
        <patternFill patternType="none">
          <fgColor indexed="64"/>
          <bgColor indexed="65"/>
        </patternFill>
      </fill>
    </dxf>
    <dxf>
      <font>
        <b val="0"/>
        <i val="0"/>
        <strike val="0"/>
        <condense val="0"/>
        <extend val="0"/>
        <outline val="0"/>
        <shadow val="0"/>
        <u val="none"/>
        <vertAlign val="baseline"/>
        <sz val="10"/>
        <color auto="1"/>
        <name val="Segoe UI"/>
        <family val="2"/>
        <scheme val="none"/>
      </font>
      <numFmt numFmtId="10" formatCode="&quot;$&quot;#,##0_);[Red]\(&quot;$&quot;#,##0\)"/>
      <fill>
        <patternFill patternType="none">
          <fgColor indexed="64"/>
          <bgColor indexed="65"/>
        </patternFill>
      </fill>
    </dxf>
    <dxf>
      <font>
        <b val="0"/>
        <i val="0"/>
        <strike val="0"/>
        <condense val="0"/>
        <extend val="0"/>
        <outline val="0"/>
        <shadow val="0"/>
        <u val="none"/>
        <vertAlign val="baseline"/>
        <sz val="10"/>
        <color auto="1"/>
        <name val="Segoe UI"/>
        <family val="2"/>
        <scheme val="none"/>
      </font>
      <numFmt numFmtId="166" formatCode="0.0%"/>
      <fill>
        <patternFill patternType="none">
          <fgColor indexed="64"/>
          <bgColor indexed="65"/>
        </patternFill>
      </fill>
      <protection locked="0" hidden="0"/>
    </dxf>
    <dxf>
      <font>
        <b val="0"/>
        <i val="0"/>
        <strike val="0"/>
        <condense val="0"/>
        <extend val="0"/>
        <outline val="0"/>
        <shadow val="0"/>
        <u val="none"/>
        <vertAlign val="baseline"/>
        <sz val="10"/>
        <color auto="1"/>
        <name val="Segoe UI"/>
        <family val="2"/>
        <scheme val="none"/>
      </font>
      <fill>
        <patternFill patternType="solid">
          <fgColor indexed="64"/>
          <bgColor theme="2"/>
        </patternFill>
      </fill>
      <protection locked="0" hidden="0"/>
    </dxf>
    <dxf>
      <font>
        <b val="0"/>
        <i val="0"/>
        <strike val="0"/>
        <condense val="0"/>
        <extend val="0"/>
        <outline val="0"/>
        <shadow val="0"/>
        <u val="none"/>
        <vertAlign val="baseline"/>
        <sz val="10"/>
        <color auto="1"/>
        <name val="Segoe UI"/>
        <family val="2"/>
        <scheme val="none"/>
      </font>
      <fill>
        <patternFill patternType="solid">
          <fgColor indexed="64"/>
          <bgColor theme="2"/>
        </patternFill>
      </fill>
      <protection locked="0" hidden="0"/>
    </dxf>
    <dxf>
      <font>
        <b val="0"/>
        <i val="0"/>
        <strike val="0"/>
        <condense val="0"/>
        <extend val="0"/>
        <outline val="0"/>
        <shadow val="0"/>
        <u val="none"/>
        <vertAlign val="baseline"/>
        <sz val="10"/>
        <color auto="1"/>
        <name val="Segoe UI"/>
        <family val="2"/>
        <scheme val="none"/>
      </font>
      <fill>
        <patternFill patternType="solid">
          <fgColor indexed="64"/>
          <bgColor theme="2"/>
        </patternFill>
      </fill>
      <protection locked="0" hidden="0"/>
    </dxf>
    <dxf>
      <font>
        <b val="0"/>
        <i val="0"/>
        <strike val="0"/>
        <condense val="0"/>
        <extend val="0"/>
        <outline val="0"/>
        <shadow val="0"/>
        <u val="none"/>
        <vertAlign val="baseline"/>
        <sz val="10"/>
        <color auto="1"/>
        <name val="Segoe UI"/>
        <family val="2"/>
        <scheme val="none"/>
      </font>
      <fill>
        <patternFill patternType="solid">
          <fgColor indexed="64"/>
          <bgColor theme="2"/>
        </patternFill>
      </fill>
      <protection locked="0" hidden="0"/>
    </dxf>
    <dxf>
      <font>
        <b val="0"/>
        <i val="0"/>
        <strike val="0"/>
        <condense val="0"/>
        <extend val="0"/>
        <outline val="0"/>
        <shadow val="0"/>
        <u val="none"/>
        <vertAlign val="baseline"/>
        <sz val="10"/>
        <color auto="1"/>
        <name val="Segoe UI"/>
        <family val="2"/>
        <scheme val="none"/>
      </font>
      <fill>
        <patternFill patternType="solid">
          <fgColor indexed="64"/>
          <bgColor theme="2"/>
        </patternFill>
      </fill>
      <protection locked="0" hidden="0"/>
    </dxf>
    <dxf>
      <font>
        <b val="0"/>
        <i val="0"/>
        <strike val="0"/>
        <condense val="0"/>
        <extend val="0"/>
        <outline val="0"/>
        <shadow val="0"/>
        <u val="none"/>
        <vertAlign val="baseline"/>
        <sz val="10"/>
        <color auto="1"/>
        <name val="Segoe UI"/>
        <family val="2"/>
        <scheme val="none"/>
      </font>
      <numFmt numFmtId="168" formatCode="_(* #,##0_);_(* \(#,##0\);_(* &quot;-&quot;??_);_(@_)"/>
      <fill>
        <patternFill patternType="solid">
          <fgColor indexed="64"/>
          <bgColor theme="2"/>
        </patternFill>
      </fill>
      <protection locked="1" hidden="0"/>
    </dxf>
    <dxf>
      <font>
        <b val="0"/>
        <i val="0"/>
        <strike val="0"/>
        <condense val="0"/>
        <extend val="0"/>
        <outline val="0"/>
        <shadow val="0"/>
        <u val="none"/>
        <vertAlign val="baseline"/>
        <sz val="10"/>
        <color auto="1"/>
        <name val="Segoe UI"/>
        <family val="2"/>
        <scheme val="none"/>
      </font>
      <fill>
        <patternFill patternType="solid">
          <fgColor indexed="64"/>
          <bgColor theme="2"/>
        </patternFill>
      </fill>
      <protection locked="0" hidden="0"/>
    </dxf>
    <dxf>
      <font>
        <b val="0"/>
        <i val="0"/>
        <strike val="0"/>
        <condense val="0"/>
        <extend val="0"/>
        <outline val="0"/>
        <shadow val="0"/>
        <u val="none"/>
        <vertAlign val="baseline"/>
        <sz val="10"/>
        <color auto="1"/>
        <name val="Segoe UI"/>
        <family val="2"/>
        <scheme val="none"/>
      </font>
      <fill>
        <patternFill patternType="solid">
          <fgColor indexed="64"/>
          <bgColor theme="2"/>
        </patternFill>
      </fill>
      <protection locked="0" hidden="0"/>
    </dxf>
    <dxf>
      <font>
        <b val="0"/>
        <i val="0"/>
        <strike val="0"/>
        <condense val="0"/>
        <extend val="0"/>
        <outline val="0"/>
        <shadow val="0"/>
        <u val="none"/>
        <vertAlign val="baseline"/>
        <sz val="10"/>
        <color auto="1"/>
        <name val="Segoe UI"/>
        <family val="2"/>
        <scheme val="none"/>
      </font>
      <numFmt numFmtId="3" formatCode="#,##0"/>
      <fill>
        <patternFill patternType="solid">
          <fgColor indexed="64"/>
          <bgColor theme="2"/>
        </patternFill>
      </fill>
    </dxf>
    <dxf>
      <font>
        <b val="0"/>
        <i val="0"/>
        <strike val="0"/>
        <condense val="0"/>
        <extend val="0"/>
        <outline val="0"/>
        <shadow val="0"/>
        <u val="none"/>
        <vertAlign val="baseline"/>
        <sz val="10"/>
        <color auto="1"/>
        <name val="Segoe UI"/>
        <family val="2"/>
        <scheme val="none"/>
      </font>
      <fill>
        <patternFill patternType="solid">
          <fgColor indexed="64"/>
          <bgColor theme="2"/>
        </patternFill>
      </fill>
      <protection locked="0" hidden="0"/>
    </dxf>
    <dxf>
      <font>
        <b val="0"/>
        <i val="0"/>
        <strike val="0"/>
        <condense val="0"/>
        <extend val="0"/>
        <outline val="0"/>
        <shadow val="0"/>
        <u val="none"/>
        <vertAlign val="baseline"/>
        <sz val="10"/>
        <color auto="1"/>
        <name val="Segoe UI"/>
        <family val="2"/>
        <scheme val="none"/>
      </font>
      <numFmt numFmtId="168" formatCode="_(* #,##0_);_(* \(#,##0\);_(* &quot;-&quot;??_);_(@_)"/>
      <fill>
        <patternFill patternType="solid">
          <fgColor indexed="64"/>
          <bgColor theme="2"/>
        </patternFill>
      </fill>
      <protection locked="0" hidden="0"/>
    </dxf>
    <dxf>
      <font>
        <b val="0"/>
        <i val="0"/>
        <strike val="0"/>
        <condense val="0"/>
        <extend val="0"/>
        <outline val="0"/>
        <shadow val="0"/>
        <u val="none"/>
        <vertAlign val="baseline"/>
        <sz val="10"/>
        <color auto="1"/>
        <name val="Segoe UI"/>
        <family val="2"/>
        <scheme val="none"/>
      </font>
      <fill>
        <patternFill patternType="solid">
          <fgColor indexed="64"/>
          <bgColor theme="2"/>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auto="1"/>
        <name val="Segoe UI"/>
        <family val="2"/>
        <scheme val="none"/>
      </font>
      <fill>
        <patternFill patternType="solid">
          <fgColor indexed="64"/>
          <bgColor theme="2"/>
        </patternFill>
      </fill>
      <protection locked="0" hidden="0"/>
    </dxf>
    <dxf>
      <font>
        <b val="0"/>
        <i val="0"/>
        <strike val="0"/>
        <condense val="0"/>
        <extend val="0"/>
        <outline val="0"/>
        <shadow val="0"/>
        <u val="none"/>
        <vertAlign val="baseline"/>
        <sz val="10"/>
        <color auto="1"/>
        <name val="Segoe UI"/>
        <family val="2"/>
        <scheme val="none"/>
      </font>
      <fill>
        <patternFill patternType="solid">
          <fgColor indexed="64"/>
          <bgColor theme="2"/>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auto="1"/>
        <name val="Segoe UI"/>
        <family val="2"/>
        <scheme val="none"/>
      </font>
      <fill>
        <patternFill patternType="solid">
          <fgColor indexed="64"/>
          <bgColor theme="2"/>
        </patternFill>
      </fill>
      <protection locked="0" hidden="0"/>
    </dxf>
    <dxf>
      <font>
        <b val="0"/>
        <i val="0"/>
        <strike val="0"/>
        <condense val="0"/>
        <extend val="0"/>
        <outline val="0"/>
        <shadow val="0"/>
        <u val="none"/>
        <vertAlign val="baseline"/>
        <sz val="10"/>
        <color auto="1"/>
        <name val="Segoe UI"/>
        <family val="2"/>
        <scheme val="none"/>
      </font>
      <fill>
        <patternFill patternType="solid">
          <fgColor indexed="64"/>
          <bgColor theme="2"/>
        </patternFill>
      </fill>
      <alignment horizontal="left" vertical="bottom" textRotation="0" wrapText="0" indent="0" justifyLastLine="0" shrinkToFit="0" readingOrder="0"/>
      <protection locked="0" hidden="0"/>
    </dxf>
    <dxf>
      <font>
        <strike val="0"/>
        <outline val="0"/>
        <shadow val="0"/>
        <u val="none"/>
        <vertAlign val="baseline"/>
        <sz val="10"/>
        <name val="Segoe UI"/>
        <family val="2"/>
        <scheme val="none"/>
      </font>
      <numFmt numFmtId="0" formatCode="General"/>
    </dxf>
    <dxf>
      <font>
        <strike val="0"/>
        <outline val="0"/>
        <shadow val="0"/>
        <u val="none"/>
        <vertAlign val="baseline"/>
        <sz val="10"/>
        <name val="Segoe UI"/>
        <family val="2"/>
        <scheme val="none"/>
      </font>
    </dxf>
    <dxf>
      <font>
        <b val="0"/>
        <i val="0"/>
        <strike val="0"/>
        <condense val="0"/>
        <extend val="0"/>
        <outline val="0"/>
        <shadow val="0"/>
        <u val="none"/>
        <vertAlign val="baseline"/>
        <sz val="10"/>
        <color rgb="FFFFC000"/>
        <name val="Segoe UI"/>
        <family val="2"/>
        <scheme val="none"/>
      </font>
      <fill>
        <patternFill patternType="solid">
          <fgColor indexed="64"/>
          <bgColor theme="1"/>
        </patternFill>
      </fill>
      <alignment horizontal="general" vertical="bottom" textRotation="0" wrapText="1" indent="0" justifyLastLine="0" shrinkToFit="0" readingOrder="0"/>
    </dxf>
    <dxf>
      <font>
        <strike val="0"/>
        <outline val="0"/>
        <shadow val="0"/>
        <u val="none"/>
        <vertAlign val="baseline"/>
        <sz val="10"/>
        <color auto="1"/>
        <name val="Segoe UI"/>
        <family val="2"/>
        <scheme val="none"/>
      </font>
      <fill>
        <patternFill patternType="none">
          <fgColor indexed="64"/>
          <bgColor auto="1"/>
        </patternFill>
      </fill>
    </dxf>
    <dxf>
      <font>
        <b val="0"/>
        <i val="0"/>
        <strike val="0"/>
        <condense val="0"/>
        <extend val="0"/>
        <outline val="0"/>
        <shadow val="0"/>
        <u val="none"/>
        <vertAlign val="baseline"/>
        <sz val="10"/>
        <color auto="1"/>
        <name val="Segoe UI"/>
        <family val="2"/>
        <scheme val="none"/>
      </font>
    </dxf>
    <dxf>
      <font>
        <strike val="0"/>
        <outline val="0"/>
        <shadow val="0"/>
        <u val="none"/>
        <vertAlign val="baseline"/>
        <sz val="10"/>
        <name val="Segoe UI"/>
        <family val="2"/>
        <scheme val="none"/>
      </font>
    </dxf>
    <dxf>
      <font>
        <b val="0"/>
        <i val="0"/>
        <strike val="0"/>
        <condense val="0"/>
        <extend val="0"/>
        <outline val="0"/>
        <shadow val="0"/>
        <u val="none"/>
        <vertAlign val="baseline"/>
        <sz val="10"/>
        <color rgb="FFF1B82D"/>
        <name val="Segoe UI"/>
        <family val="2"/>
        <scheme val="none"/>
      </font>
      <alignment horizontal="right" vertical="bottom" textRotation="0" wrapText="1" indent="0" justifyLastLine="0" shrinkToFit="0" readingOrder="0"/>
    </dxf>
    <dxf>
      <font>
        <b val="0"/>
        <i val="0"/>
        <strike val="0"/>
        <condense val="0"/>
        <extend val="0"/>
        <outline val="0"/>
        <shadow val="0"/>
        <u val="none"/>
        <vertAlign val="baseline"/>
        <sz val="10"/>
        <color auto="1"/>
        <name val="Segoe UI"/>
        <family val="2"/>
        <scheme val="none"/>
      </font>
      <numFmt numFmtId="35" formatCode="_(* #,##0.00_);_(* \(#,##0.00\);_(* &quot;-&quot;??_);_(@_)"/>
      <fill>
        <patternFill patternType="none">
          <fgColor indexed="64"/>
          <bgColor auto="1"/>
        </patternFill>
      </fill>
      <protection locked="0" hidden="0"/>
    </dxf>
    <dxf>
      <font>
        <b val="0"/>
        <i val="0"/>
        <strike val="0"/>
        <condense val="0"/>
        <extend val="0"/>
        <outline val="0"/>
        <shadow val="0"/>
        <u val="none"/>
        <vertAlign val="baseline"/>
        <sz val="10"/>
        <color auto="1"/>
        <name val="Segoe UI"/>
        <family val="2"/>
        <scheme val="none"/>
      </font>
      <numFmt numFmtId="4" formatCode="#,##0.00"/>
      <fill>
        <patternFill patternType="none">
          <fgColor indexed="64"/>
          <bgColor auto="1"/>
        </patternFill>
      </fill>
      <protection locked="0" hidden="0"/>
    </dxf>
    <dxf>
      <font>
        <b val="0"/>
        <i val="0"/>
        <strike val="0"/>
        <condense val="0"/>
        <extend val="0"/>
        <outline val="0"/>
        <shadow val="0"/>
        <u val="none"/>
        <vertAlign val="baseline"/>
        <sz val="10"/>
        <color auto="1"/>
        <name val="Segoe UI"/>
        <family val="2"/>
        <scheme val="none"/>
      </font>
      <numFmt numFmtId="12" formatCode="&quot;$&quot;#,##0.00_);[Red]\(&quot;$&quot;#,##0.00\)"/>
      <fill>
        <patternFill patternType="none">
          <fgColor indexed="64"/>
          <bgColor auto="1"/>
        </patternFill>
      </fill>
      <protection locked="0" hidden="0"/>
    </dxf>
    <dxf>
      <font>
        <b val="0"/>
        <i val="0"/>
        <strike val="0"/>
        <condense val="0"/>
        <extend val="0"/>
        <outline val="0"/>
        <shadow val="0"/>
        <u val="none"/>
        <vertAlign val="baseline"/>
        <sz val="10"/>
        <color auto="1"/>
        <name val="Segoe UI"/>
        <family val="2"/>
        <scheme val="none"/>
      </font>
      <numFmt numFmtId="35" formatCode="_(* #,##0.00_);_(* \(#,##0.00\);_(* &quot;-&quot;??_);_(@_)"/>
      <fill>
        <patternFill patternType="none">
          <fgColor indexed="64"/>
          <bgColor auto="1"/>
        </patternFill>
      </fill>
      <protection locked="0" hidden="0"/>
    </dxf>
    <dxf>
      <font>
        <b val="0"/>
        <i val="0"/>
        <strike val="0"/>
        <condense val="0"/>
        <extend val="0"/>
        <outline val="0"/>
        <shadow val="0"/>
        <u val="none"/>
        <vertAlign val="baseline"/>
        <sz val="10"/>
        <color auto="1"/>
        <name val="Segoe UI"/>
        <family val="2"/>
        <scheme val="none"/>
      </font>
      <numFmt numFmtId="35" formatCode="_(* #,##0.00_);_(* \(#,##0.00\);_(* &quot;-&quot;??_);_(@_)"/>
      <fill>
        <patternFill patternType="none">
          <fgColor indexed="64"/>
          <bgColor auto="1"/>
        </patternFill>
      </fill>
      <protection locked="0" hidden="0"/>
    </dxf>
    <dxf>
      <font>
        <b val="0"/>
        <i val="0"/>
        <strike val="0"/>
        <condense val="0"/>
        <extend val="0"/>
        <outline val="0"/>
        <shadow val="0"/>
        <u val="none"/>
        <vertAlign val="baseline"/>
        <sz val="10"/>
        <color auto="1"/>
        <name val="Segoe UI"/>
        <family val="2"/>
        <scheme val="none"/>
      </font>
      <numFmt numFmtId="10" formatCode="&quot;$&quot;#,##0_);[Red]\(&quot;$&quot;#,##0\)"/>
      <fill>
        <patternFill patternType="none">
          <fgColor indexed="64"/>
          <bgColor auto="1"/>
        </patternFill>
      </fill>
      <protection locked="0" hidden="0"/>
    </dxf>
    <dxf>
      <font>
        <b val="0"/>
        <i val="0"/>
        <strike val="0"/>
        <condense val="0"/>
        <extend val="0"/>
        <outline val="0"/>
        <shadow val="0"/>
        <u val="none"/>
        <vertAlign val="baseline"/>
        <sz val="10"/>
        <color auto="1"/>
        <name val="Segoe UI"/>
        <family val="2"/>
        <scheme val="none"/>
      </font>
      <numFmt numFmtId="166" formatCode="0.0%"/>
      <fill>
        <patternFill patternType="none">
          <fgColor indexed="64"/>
          <bgColor auto="1"/>
        </patternFill>
      </fill>
      <protection locked="0" hidden="0"/>
    </dxf>
    <dxf>
      <font>
        <b val="0"/>
        <i val="0"/>
        <strike val="0"/>
        <condense val="0"/>
        <extend val="0"/>
        <outline val="0"/>
        <shadow val="0"/>
        <u val="none"/>
        <vertAlign val="baseline"/>
        <sz val="10"/>
        <color auto="1"/>
        <name val="Segoe UI"/>
        <family val="2"/>
        <scheme val="none"/>
      </font>
      <fill>
        <patternFill patternType="solid">
          <fgColor indexed="64"/>
          <bgColor theme="2"/>
        </patternFill>
      </fill>
      <protection locked="0" hidden="0"/>
    </dxf>
    <dxf>
      <font>
        <b val="0"/>
        <i val="0"/>
        <strike val="0"/>
        <condense val="0"/>
        <extend val="0"/>
        <outline val="0"/>
        <shadow val="0"/>
        <u val="none"/>
        <vertAlign val="baseline"/>
        <sz val="10"/>
        <color auto="1"/>
        <name val="Segoe UI"/>
        <family val="2"/>
        <scheme val="none"/>
      </font>
      <fill>
        <patternFill patternType="solid">
          <fgColor indexed="64"/>
          <bgColor theme="2"/>
        </patternFill>
      </fill>
      <protection locked="0" hidden="0"/>
    </dxf>
    <dxf>
      <font>
        <b val="0"/>
        <i val="0"/>
        <strike val="0"/>
        <condense val="0"/>
        <extend val="0"/>
        <outline val="0"/>
        <shadow val="0"/>
        <u val="none"/>
        <vertAlign val="baseline"/>
        <sz val="10"/>
        <color auto="1"/>
        <name val="Segoe UI"/>
        <family val="2"/>
        <scheme val="none"/>
      </font>
      <fill>
        <patternFill patternType="solid">
          <fgColor indexed="64"/>
          <bgColor theme="2"/>
        </patternFill>
      </fill>
      <protection locked="0" hidden="0"/>
    </dxf>
    <dxf>
      <font>
        <b val="0"/>
        <i val="0"/>
        <strike val="0"/>
        <condense val="0"/>
        <extend val="0"/>
        <outline val="0"/>
        <shadow val="0"/>
        <u val="none"/>
        <vertAlign val="baseline"/>
        <sz val="10"/>
        <color auto="1"/>
        <name val="Segoe UI"/>
        <family val="2"/>
        <scheme val="none"/>
      </font>
      <fill>
        <patternFill patternType="solid">
          <fgColor indexed="64"/>
          <bgColor theme="2"/>
        </patternFill>
      </fill>
      <protection locked="0" hidden="0"/>
    </dxf>
    <dxf>
      <font>
        <b val="0"/>
        <i val="0"/>
        <strike val="0"/>
        <condense val="0"/>
        <extend val="0"/>
        <outline val="0"/>
        <shadow val="0"/>
        <u val="none"/>
        <vertAlign val="baseline"/>
        <sz val="10"/>
        <color auto="1"/>
        <name val="Segoe UI"/>
        <family val="2"/>
        <scheme val="none"/>
      </font>
      <fill>
        <patternFill patternType="solid">
          <fgColor indexed="64"/>
          <bgColor theme="2"/>
        </patternFill>
      </fill>
      <protection locked="0" hidden="0"/>
    </dxf>
    <dxf>
      <font>
        <b val="0"/>
        <i val="0"/>
        <strike val="0"/>
        <condense val="0"/>
        <extend val="0"/>
        <outline val="0"/>
        <shadow val="0"/>
        <u val="none"/>
        <vertAlign val="baseline"/>
        <sz val="10"/>
        <color auto="1"/>
        <name val="Segoe UI"/>
        <family val="2"/>
        <scheme val="none"/>
      </font>
      <numFmt numFmtId="3" formatCode="#,##0"/>
      <fill>
        <patternFill patternType="solid">
          <fgColor indexed="64"/>
          <bgColor theme="0"/>
        </patternFill>
      </fill>
    </dxf>
    <dxf>
      <font>
        <b val="0"/>
        <i val="0"/>
        <strike val="0"/>
        <condense val="0"/>
        <extend val="0"/>
        <outline val="0"/>
        <shadow val="0"/>
        <u val="none"/>
        <vertAlign val="baseline"/>
        <sz val="10"/>
        <color auto="1"/>
        <name val="Segoe UI"/>
        <family val="2"/>
        <scheme val="none"/>
      </font>
      <fill>
        <patternFill patternType="solid">
          <fgColor indexed="64"/>
          <bgColor theme="2"/>
        </patternFill>
      </fill>
      <protection locked="0" hidden="0"/>
    </dxf>
    <dxf>
      <font>
        <b val="0"/>
        <i val="0"/>
        <strike val="0"/>
        <condense val="0"/>
        <extend val="0"/>
        <outline val="0"/>
        <shadow val="0"/>
        <u val="none"/>
        <vertAlign val="baseline"/>
        <sz val="10"/>
        <color auto="1"/>
        <name val="Segoe UI"/>
        <family val="2"/>
        <scheme val="none"/>
      </font>
      <numFmt numFmtId="168" formatCode="_(* #,##0_);_(* \(#,##0\);_(* &quot;-&quot;??_);_(@_)"/>
      <fill>
        <patternFill patternType="solid">
          <fgColor indexed="64"/>
          <bgColor theme="2"/>
        </patternFill>
      </fill>
      <protection locked="0" hidden="0"/>
    </dxf>
    <dxf>
      <font>
        <b val="0"/>
        <i val="0"/>
        <strike val="0"/>
        <condense val="0"/>
        <extend val="0"/>
        <outline val="0"/>
        <shadow val="0"/>
        <u val="none"/>
        <vertAlign val="baseline"/>
        <sz val="10"/>
        <color auto="1"/>
        <name val="Segoe UI"/>
        <family val="2"/>
        <scheme val="none"/>
      </font>
      <fill>
        <patternFill patternType="solid">
          <fgColor indexed="64"/>
          <bgColor theme="2"/>
        </patternFill>
      </fill>
      <protection locked="0" hidden="0"/>
    </dxf>
    <dxf>
      <font>
        <b val="0"/>
        <i val="0"/>
        <strike val="0"/>
        <condense val="0"/>
        <extend val="0"/>
        <outline val="0"/>
        <shadow val="0"/>
        <u val="none"/>
        <vertAlign val="baseline"/>
        <sz val="10"/>
        <color auto="1"/>
        <name val="Segoe UI"/>
        <family val="2"/>
        <scheme val="none"/>
      </font>
      <fill>
        <patternFill patternType="solid">
          <fgColor indexed="64"/>
          <bgColor theme="2"/>
        </patternFill>
      </fill>
      <alignment horizontal="right" vertical="bottom" textRotation="0" wrapText="0" indent="0" justifyLastLine="0" shrinkToFit="0" readingOrder="0"/>
    </dxf>
    <dxf>
      <font>
        <b val="0"/>
        <i val="0"/>
        <strike val="0"/>
        <condense val="0"/>
        <extend val="0"/>
        <outline val="0"/>
        <shadow val="0"/>
        <u val="none"/>
        <vertAlign val="baseline"/>
        <sz val="10"/>
        <color indexed="8"/>
        <name val="Segoe UI"/>
        <family val="2"/>
        <scheme val="none"/>
      </font>
      <alignment horizontal="left" vertical="bottom" textRotation="0" wrapText="0" indent="0" justifyLastLine="0" shrinkToFit="0" readingOrder="0"/>
    </dxf>
    <dxf>
      <font>
        <b val="0"/>
        <i val="0"/>
        <strike val="0"/>
        <condense val="0"/>
        <extend val="0"/>
        <outline val="0"/>
        <shadow val="0"/>
        <u val="none"/>
        <vertAlign val="baseline"/>
        <sz val="10"/>
        <color indexed="12"/>
        <name val="Segoe UI"/>
        <family val="2"/>
        <scheme val="none"/>
      </font>
      <fill>
        <patternFill patternType="solid">
          <fgColor indexed="64"/>
          <bgColor rgb="FFFFFF66"/>
        </patternFill>
      </fill>
      <protection locked="0" hidden="0"/>
    </dxf>
    <dxf>
      <font>
        <b val="0"/>
        <i val="0"/>
        <strike val="0"/>
        <condense val="0"/>
        <extend val="0"/>
        <outline val="0"/>
        <shadow val="0"/>
        <u val="none"/>
        <vertAlign val="baseline"/>
        <sz val="10"/>
        <color rgb="FFF1B82D"/>
        <name val="Segoe UI"/>
        <family val="2"/>
        <scheme val="none"/>
      </font>
      <alignment horizontal="left" vertical="bottom" textRotation="0" wrapText="1" indent="0" justifyLastLine="0" shrinkToFit="0" readingOrder="0"/>
    </dxf>
    <dxf>
      <font>
        <b val="0"/>
        <i val="0"/>
        <strike val="0"/>
        <condense val="0"/>
        <extend val="0"/>
        <outline val="0"/>
        <shadow val="0"/>
        <u val="none"/>
        <vertAlign val="baseline"/>
        <sz val="10"/>
        <color auto="1"/>
        <name val="Segoe UI"/>
        <family val="2"/>
        <scheme val="none"/>
      </font>
      <fill>
        <patternFill patternType="none">
          <fgColor indexed="64"/>
          <bgColor auto="1"/>
        </patternFill>
      </fill>
      <alignment horizontal="right" vertical="bottom"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0"/>
        <color auto="1"/>
        <name val="Segoe UI"/>
        <family val="2"/>
        <scheme val="none"/>
      </font>
      <fill>
        <patternFill patternType="solid">
          <fgColor indexed="64"/>
          <bgColor theme="2"/>
        </patternFill>
      </fill>
      <border diagonalUp="0" diagonalDown="0" outline="0">
        <left/>
        <right/>
        <top style="thin">
          <color theme="4" tint="0.39997558519241921"/>
        </top>
        <bottom/>
      </border>
    </dxf>
    <dxf>
      <font>
        <strike val="0"/>
        <outline val="0"/>
        <shadow val="0"/>
        <u val="none"/>
        <vertAlign val="baseline"/>
        <sz val="10"/>
        <name val="Segoe UI"/>
        <family val="2"/>
        <scheme val="none"/>
      </font>
      <fill>
        <patternFill patternType="none">
          <fgColor indexed="64"/>
          <bgColor auto="1"/>
        </patternFill>
      </fill>
    </dxf>
    <dxf>
      <font>
        <strike val="0"/>
        <outline val="0"/>
        <shadow val="0"/>
        <u val="none"/>
        <vertAlign val="baseline"/>
        <sz val="10"/>
        <name val="Segoe UI"/>
        <family val="2"/>
        <scheme val="none"/>
      </font>
      <fill>
        <patternFill patternType="none">
          <fgColor indexed="64"/>
          <bgColor auto="1"/>
        </patternFill>
      </fill>
    </dxf>
    <dxf>
      <font>
        <strike val="0"/>
        <outline val="0"/>
        <shadow val="0"/>
        <u val="none"/>
        <vertAlign val="baseline"/>
        <sz val="10"/>
        <name val="Segoe UI"/>
        <family val="2"/>
        <scheme val="none"/>
      </font>
      <fill>
        <patternFill patternType="none">
          <fgColor indexed="64"/>
          <bgColor auto="1"/>
        </patternFill>
      </fill>
    </dxf>
    <dxf>
      <font>
        <strike val="0"/>
        <outline val="0"/>
        <shadow val="0"/>
        <u val="none"/>
        <vertAlign val="baseline"/>
        <sz val="10"/>
        <name val="Segoe UI"/>
        <family val="2"/>
        <scheme val="none"/>
      </font>
      <fill>
        <patternFill patternType="none">
          <fgColor indexed="64"/>
          <bgColor auto="1"/>
        </patternFill>
      </fill>
    </dxf>
    <dxf>
      <font>
        <strike val="0"/>
        <outline val="0"/>
        <shadow val="0"/>
        <u val="none"/>
        <vertAlign val="baseline"/>
        <sz val="10"/>
        <name val="Segoe UI"/>
        <family val="2"/>
        <scheme val="none"/>
      </font>
      <fill>
        <patternFill patternType="none">
          <fgColor indexed="64"/>
          <bgColor auto="1"/>
        </patternFill>
      </fill>
    </dxf>
    <dxf>
      <font>
        <strike val="0"/>
        <outline val="0"/>
        <shadow val="0"/>
        <u val="none"/>
        <vertAlign val="baseline"/>
        <sz val="10"/>
        <name val="Segoe UI"/>
        <family val="2"/>
        <scheme val="none"/>
      </font>
      <fill>
        <patternFill patternType="none">
          <fgColor indexed="64"/>
          <bgColor auto="1"/>
        </patternFill>
      </fill>
    </dxf>
    <dxf>
      <font>
        <strike val="0"/>
        <outline val="0"/>
        <shadow val="0"/>
        <u val="none"/>
        <vertAlign val="baseline"/>
        <sz val="10"/>
        <name val="Segoe UI"/>
        <family val="2"/>
        <scheme val="none"/>
      </font>
      <fill>
        <patternFill patternType="none">
          <fgColor indexed="64"/>
          <bgColor auto="1"/>
        </patternFill>
      </fill>
    </dxf>
    <dxf>
      <font>
        <strike val="0"/>
        <outline val="0"/>
        <shadow val="0"/>
        <u val="none"/>
        <vertAlign val="baseline"/>
        <sz val="10"/>
        <name val="Segoe UI"/>
        <family val="2"/>
        <scheme val="none"/>
      </font>
      <fill>
        <patternFill patternType="none">
          <fgColor indexed="64"/>
          <bgColor auto="1"/>
        </patternFill>
      </fill>
    </dxf>
    <dxf>
      <font>
        <strike val="0"/>
        <outline val="0"/>
        <shadow val="0"/>
        <u val="none"/>
        <vertAlign val="baseline"/>
        <sz val="10"/>
        <name val="Segoe UI"/>
        <family val="2"/>
        <scheme val="none"/>
      </font>
      <fill>
        <patternFill patternType="none">
          <fgColor indexed="64"/>
          <bgColor auto="1"/>
        </patternFill>
      </fill>
    </dxf>
    <dxf>
      <font>
        <strike val="0"/>
        <outline val="0"/>
        <shadow val="0"/>
        <u val="none"/>
        <vertAlign val="baseline"/>
        <sz val="10"/>
        <name val="Segoe UI"/>
        <family val="2"/>
        <scheme val="none"/>
      </font>
      <fill>
        <patternFill patternType="none">
          <fgColor indexed="64"/>
          <bgColor auto="1"/>
        </patternFill>
      </fill>
    </dxf>
    <dxf>
      <font>
        <b val="0"/>
        <i val="0"/>
        <strike val="0"/>
        <condense val="0"/>
        <extend val="0"/>
        <outline val="0"/>
        <shadow val="0"/>
        <u val="none"/>
        <vertAlign val="baseline"/>
        <sz val="10"/>
        <color rgb="FFF1B82D"/>
        <name val="Segoe UI"/>
        <family val="2"/>
        <scheme val="none"/>
      </font>
      <alignment horizontal="left"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4162425</xdr:colOff>
      <xdr:row>3</xdr:row>
      <xdr:rowOff>178150</xdr:rowOff>
    </xdr:from>
    <xdr:to>
      <xdr:col>4</xdr:col>
      <xdr:colOff>82550</xdr:colOff>
      <xdr:row>7</xdr:row>
      <xdr:rowOff>57725</xdr:rowOff>
    </xdr:to>
    <xdr:pic>
      <xdr:nvPicPr>
        <xdr:cNvPr id="2" name="Picture 1">
          <a:extLst>
            <a:ext uri="{FF2B5EF4-FFF2-40B4-BE49-F238E27FC236}">
              <a16:creationId xmlns:a16="http://schemas.microsoft.com/office/drawing/2014/main" id="{4C130C21-48B4-4B3A-B2EC-638B84B4B5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43575" y="873475"/>
          <a:ext cx="2292350" cy="7177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sseyr/Box%20Sync/Budgets/Budgets.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mailmissouri-my.sharepoint.com/personal/milhollinr_umsystem_edu/Documents/Documents/Forage%20Budgets.xlsx" TargetMode="External"/><Relationship Id="rId1" Type="http://schemas.openxmlformats.org/officeDocument/2006/relationships/externalLinkPath" Target="Forage%20Budge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Input"/>
      <sheetName val="Wheat(2015 SRW)"/>
      <sheetName val="Beans, DC(2015 DoubleCrop)"/>
      <sheetName val="Beans(2015 Dryland)"/>
      <sheetName val="Milo(Gr Sorghum 2015)"/>
      <sheetName val="Corn(2015 Irrigated)"/>
      <sheetName val="Corn(Corn(2015 Dryland...)"/>
      <sheetName val="Corn, Dryland 2014"/>
      <sheetName val="Corn, Irrigated 2014"/>
      <sheetName val="Soybean 2014"/>
      <sheetName val="Soybean, Double Crop 2014"/>
      <sheetName val="Wheat SRW 2014"/>
      <sheetName val="Grain Sorghum 2014"/>
      <sheetName val="Output"/>
      <sheetName val="Machinery Cost"/>
      <sheetName val="MDB"/>
      <sheetName val="Store"/>
    </sheetNames>
    <sheetDataSet>
      <sheetData sheetId="0"/>
      <sheetData sheetId="1">
        <row r="12">
          <cell r="B12">
            <v>100</v>
          </cell>
        </row>
        <row r="13">
          <cell r="B13">
            <v>55</v>
          </cell>
        </row>
        <row r="25">
          <cell r="B25">
            <v>100</v>
          </cell>
        </row>
        <row r="46">
          <cell r="F46">
            <v>19.38</v>
          </cell>
        </row>
        <row r="99">
          <cell r="B99">
            <v>15000</v>
          </cell>
        </row>
        <row r="100">
          <cell r="B100">
            <v>5</v>
          </cell>
        </row>
        <row r="109">
          <cell r="B109">
            <v>5</v>
          </cell>
          <cell r="F109">
            <v>6800</v>
          </cell>
        </row>
        <row r="114">
          <cell r="F114">
            <v>2</v>
          </cell>
        </row>
        <row r="149">
          <cell r="F149">
            <v>0</v>
          </cell>
          <cell r="H149">
            <v>0</v>
          </cell>
        </row>
        <row r="150">
          <cell r="F150">
            <v>0</v>
          </cell>
          <cell r="H150">
            <v>0</v>
          </cell>
        </row>
        <row r="151">
          <cell r="F151">
            <v>0</v>
          </cell>
          <cell r="H151">
            <v>0</v>
          </cell>
        </row>
        <row r="152">
          <cell r="F152">
            <v>0</v>
          </cell>
          <cell r="H152">
            <v>0</v>
          </cell>
        </row>
        <row r="153">
          <cell r="F153">
            <v>0</v>
          </cell>
          <cell r="H153">
            <v>0</v>
          </cell>
        </row>
        <row r="154">
          <cell r="F154">
            <v>0</v>
          </cell>
          <cell r="H154">
            <v>0</v>
          </cell>
        </row>
        <row r="155">
          <cell r="F155">
            <v>0</v>
          </cell>
          <cell r="H155">
            <v>0</v>
          </cell>
        </row>
        <row r="156">
          <cell r="F156">
            <v>0</v>
          </cell>
          <cell r="H156">
            <v>0</v>
          </cell>
        </row>
        <row r="157">
          <cell r="F157">
            <v>0</v>
          </cell>
          <cell r="H157">
            <v>0</v>
          </cell>
        </row>
        <row r="158">
          <cell r="F158">
            <v>0</v>
          </cell>
          <cell r="H158">
            <v>0</v>
          </cell>
        </row>
        <row r="160">
          <cell r="F160">
            <v>0</v>
          </cell>
          <cell r="H160">
            <v>0</v>
          </cell>
        </row>
        <row r="161">
          <cell r="F161">
            <v>0</v>
          </cell>
          <cell r="H161">
            <v>0</v>
          </cell>
        </row>
        <row r="162">
          <cell r="F162">
            <v>0</v>
          </cell>
          <cell r="H162">
            <v>0</v>
          </cell>
        </row>
        <row r="163">
          <cell r="F163">
            <v>0</v>
          </cell>
          <cell r="H163">
            <v>0</v>
          </cell>
        </row>
        <row r="164">
          <cell r="D164" t="str">
            <v>200 MFWD</v>
          </cell>
          <cell r="F164">
            <v>1</v>
          </cell>
          <cell r="H164">
            <v>0</v>
          </cell>
        </row>
        <row r="166">
          <cell r="F166">
            <v>0</v>
          </cell>
          <cell r="H166">
            <v>0</v>
          </cell>
        </row>
        <row r="167">
          <cell r="F167">
            <v>0</v>
          </cell>
          <cell r="H167">
            <v>0</v>
          </cell>
        </row>
        <row r="168">
          <cell r="F168">
            <v>0</v>
          </cell>
          <cell r="H168">
            <v>0</v>
          </cell>
        </row>
        <row r="169">
          <cell r="F169">
            <v>0</v>
          </cell>
          <cell r="H169">
            <v>0</v>
          </cell>
        </row>
        <row r="170">
          <cell r="D170" t="str">
            <v>130 MFWD</v>
          </cell>
          <cell r="F170">
            <v>1</v>
          </cell>
          <cell r="H170">
            <v>0</v>
          </cell>
        </row>
        <row r="171">
          <cell r="F171">
            <v>0</v>
          </cell>
          <cell r="H171">
            <v>0</v>
          </cell>
        </row>
        <row r="172">
          <cell r="F172">
            <v>0</v>
          </cell>
          <cell r="H172">
            <v>0</v>
          </cell>
        </row>
        <row r="173">
          <cell r="F173">
            <v>0</v>
          </cell>
          <cell r="H173">
            <v>0</v>
          </cell>
        </row>
        <row r="175">
          <cell r="F175">
            <v>0</v>
          </cell>
          <cell r="H175">
            <v>0</v>
          </cell>
        </row>
        <row r="176">
          <cell r="F176">
            <v>0</v>
          </cell>
          <cell r="H176">
            <v>0</v>
          </cell>
        </row>
        <row r="177">
          <cell r="F177">
            <v>0</v>
          </cell>
          <cell r="H177">
            <v>0</v>
          </cell>
        </row>
        <row r="178">
          <cell r="F178">
            <v>0</v>
          </cell>
          <cell r="H178">
            <v>0</v>
          </cell>
        </row>
        <row r="179">
          <cell r="F179">
            <v>0</v>
          </cell>
          <cell r="H179">
            <v>0</v>
          </cell>
        </row>
        <row r="180">
          <cell r="F180">
            <v>0</v>
          </cell>
          <cell r="H180">
            <v>0</v>
          </cell>
        </row>
        <row r="181">
          <cell r="F181">
            <v>0</v>
          </cell>
          <cell r="H181">
            <v>0</v>
          </cell>
        </row>
        <row r="182">
          <cell r="F182">
            <v>0</v>
          </cell>
          <cell r="H182">
            <v>0</v>
          </cell>
        </row>
        <row r="183">
          <cell r="F183">
            <v>0</v>
          </cell>
          <cell r="H183">
            <v>0</v>
          </cell>
        </row>
        <row r="184">
          <cell r="F184">
            <v>0</v>
          </cell>
          <cell r="H184">
            <v>0</v>
          </cell>
        </row>
        <row r="185">
          <cell r="F185">
            <v>0</v>
          </cell>
          <cell r="H185">
            <v>0</v>
          </cell>
        </row>
        <row r="186">
          <cell r="F186">
            <v>0</v>
          </cell>
          <cell r="H186">
            <v>0</v>
          </cell>
        </row>
        <row r="187">
          <cell r="F187">
            <v>0</v>
          </cell>
          <cell r="H187">
            <v>0</v>
          </cell>
        </row>
        <row r="188">
          <cell r="F188">
            <v>0</v>
          </cell>
        </row>
        <row r="189">
          <cell r="F189">
            <v>0</v>
          </cell>
        </row>
        <row r="190">
          <cell r="F190">
            <v>0</v>
          </cell>
        </row>
        <row r="191">
          <cell r="F191">
            <v>0</v>
          </cell>
        </row>
        <row r="192">
          <cell r="F192">
            <v>0</v>
          </cell>
          <cell r="H192">
            <v>0</v>
          </cell>
        </row>
        <row r="193">
          <cell r="F193">
            <v>1</v>
          </cell>
          <cell r="H193">
            <v>0</v>
          </cell>
        </row>
        <row r="194">
          <cell r="F194">
            <v>0</v>
          </cell>
          <cell r="H194">
            <v>0</v>
          </cell>
        </row>
        <row r="195">
          <cell r="F195">
            <v>0</v>
          </cell>
          <cell r="H195">
            <v>0</v>
          </cell>
        </row>
        <row r="196">
          <cell r="D196" t="str">
            <v>200 MFWD</v>
          </cell>
        </row>
        <row r="197">
          <cell r="D197" t="str">
            <v>130 MFWD</v>
          </cell>
        </row>
      </sheetData>
      <sheetData sheetId="2"/>
      <sheetData sheetId="3"/>
      <sheetData sheetId="4"/>
      <sheetData sheetId="5"/>
      <sheetData sheetId="6"/>
      <sheetData sheetId="7"/>
      <sheetData sheetId="8"/>
      <sheetData sheetId="9"/>
      <sheetData sheetId="10"/>
      <sheetData sheetId="11"/>
      <sheetData sheetId="12"/>
      <sheetData sheetId="13"/>
      <sheetData sheetId="14">
        <row r="8">
          <cell r="C8" t="str">
            <v>bushels</v>
          </cell>
          <cell r="D8">
            <v>55</v>
          </cell>
          <cell r="E8">
            <v>5.3</v>
          </cell>
          <cell r="F8">
            <v>291.5</v>
          </cell>
          <cell r="G8">
            <v>291.5</v>
          </cell>
          <cell r="H8">
            <v>0</v>
          </cell>
        </row>
        <row r="9">
          <cell r="C9" t="str">
            <v>bushels</v>
          </cell>
          <cell r="D9">
            <v>0</v>
          </cell>
          <cell r="E9">
            <v>0</v>
          </cell>
          <cell r="F9">
            <v>0</v>
          </cell>
          <cell r="G9">
            <v>0</v>
          </cell>
          <cell r="H9">
            <v>0</v>
          </cell>
        </row>
        <row r="10">
          <cell r="F10">
            <v>0</v>
          </cell>
          <cell r="G10">
            <v>0</v>
          </cell>
          <cell r="H10">
            <v>0</v>
          </cell>
        </row>
        <row r="11">
          <cell r="F11">
            <v>0</v>
          </cell>
          <cell r="G11">
            <v>0</v>
          </cell>
          <cell r="H11">
            <v>0</v>
          </cell>
        </row>
        <row r="12">
          <cell r="F12">
            <v>291.5</v>
          </cell>
          <cell r="G12">
            <v>291.5</v>
          </cell>
          <cell r="H12">
            <v>0</v>
          </cell>
        </row>
        <row r="15">
          <cell r="F15">
            <v>36</v>
          </cell>
          <cell r="G15">
            <v>36</v>
          </cell>
          <cell r="H15">
            <v>0</v>
          </cell>
        </row>
        <row r="16">
          <cell r="F16">
            <v>77.900000000000006</v>
          </cell>
          <cell r="G16">
            <v>77.900000000000006</v>
          </cell>
          <cell r="H16">
            <v>0</v>
          </cell>
        </row>
        <row r="17">
          <cell r="E17">
            <v>39.75</v>
          </cell>
        </row>
        <row r="18">
          <cell r="E18">
            <v>17.149999999999999</v>
          </cell>
        </row>
        <row r="19">
          <cell r="E19">
            <v>8</v>
          </cell>
        </row>
        <row r="20">
          <cell r="E20">
            <v>13</v>
          </cell>
        </row>
        <row r="21">
          <cell r="F21">
            <v>19.38</v>
          </cell>
          <cell r="G21">
            <v>19.38</v>
          </cell>
          <cell r="H21">
            <v>0</v>
          </cell>
        </row>
        <row r="22">
          <cell r="E22">
            <v>19.38</v>
          </cell>
        </row>
        <row r="23">
          <cell r="E23">
            <v>0</v>
          </cell>
        </row>
        <row r="24">
          <cell r="F24">
            <v>1</v>
          </cell>
          <cell r="G24">
            <v>1</v>
          </cell>
          <cell r="H24">
            <v>0</v>
          </cell>
        </row>
        <row r="25">
          <cell r="F25">
            <v>13</v>
          </cell>
          <cell r="G25">
            <v>13</v>
          </cell>
          <cell r="H25">
            <v>0</v>
          </cell>
        </row>
        <row r="26">
          <cell r="F26">
            <v>12</v>
          </cell>
          <cell r="G26">
            <v>12</v>
          </cell>
          <cell r="H26">
            <v>0</v>
          </cell>
        </row>
        <row r="27">
          <cell r="F27">
            <v>13.772941621140765</v>
          </cell>
          <cell r="G27">
            <v>13.772941621140765</v>
          </cell>
          <cell r="H27">
            <v>0</v>
          </cell>
        </row>
        <row r="28">
          <cell r="F28">
            <v>10.564209124880641</v>
          </cell>
          <cell r="G28">
            <v>10.564209124880641</v>
          </cell>
          <cell r="H28">
            <v>0</v>
          </cell>
        </row>
        <row r="29">
          <cell r="F29">
            <v>12.169842531095279</v>
          </cell>
          <cell r="G29">
            <v>12.169842531095279</v>
          </cell>
          <cell r="H29">
            <v>0</v>
          </cell>
        </row>
        <row r="30">
          <cell r="F30">
            <v>0</v>
          </cell>
          <cell r="G30">
            <v>0</v>
          </cell>
          <cell r="H30">
            <v>0</v>
          </cell>
        </row>
        <row r="31">
          <cell r="F31">
            <v>5.8736097983135007</v>
          </cell>
          <cell r="G31">
            <v>5.8736097983135007</v>
          </cell>
          <cell r="H31">
            <v>0</v>
          </cell>
        </row>
        <row r="32">
          <cell r="F32">
            <v>201.6606030754302</v>
          </cell>
          <cell r="G32">
            <v>201.6606030754302</v>
          </cell>
          <cell r="H32">
            <v>0</v>
          </cell>
        </row>
        <row r="35">
          <cell r="F35">
            <v>4.25</v>
          </cell>
          <cell r="G35">
            <v>4.25</v>
          </cell>
          <cell r="H35">
            <v>0</v>
          </cell>
        </row>
        <row r="36">
          <cell r="F36">
            <v>14.306653314023379</v>
          </cell>
          <cell r="G36">
            <v>14.306653314023379</v>
          </cell>
          <cell r="H36">
            <v>0</v>
          </cell>
        </row>
        <row r="37">
          <cell r="F37">
            <v>17.776766132218697</v>
          </cell>
          <cell r="G37">
            <v>17.776766132218697</v>
          </cell>
          <cell r="H37">
            <v>0</v>
          </cell>
        </row>
        <row r="38">
          <cell r="F38">
            <v>140</v>
          </cell>
          <cell r="G38">
            <v>0</v>
          </cell>
          <cell r="H38">
            <v>140</v>
          </cell>
        </row>
        <row r="39">
          <cell r="F39">
            <v>176.33341944624209</v>
          </cell>
          <cell r="G39">
            <v>36.333419446242075</v>
          </cell>
          <cell r="H39">
            <v>140</v>
          </cell>
        </row>
        <row r="41">
          <cell r="F41">
            <v>377.99402252167226</v>
          </cell>
          <cell r="G41">
            <v>237.99402252167226</v>
          </cell>
          <cell r="H41">
            <v>140</v>
          </cell>
        </row>
        <row r="43">
          <cell r="F43">
            <v>89.839396924569797</v>
          </cell>
          <cell r="G43">
            <v>89.839396924569797</v>
          </cell>
          <cell r="H43">
            <v>0</v>
          </cell>
        </row>
        <row r="44">
          <cell r="F44">
            <v>-86.494022521672264</v>
          </cell>
          <cell r="G44">
            <v>53.505977478327736</v>
          </cell>
          <cell r="H44">
            <v>-140</v>
          </cell>
        </row>
        <row r="46">
          <cell r="D46" t="str">
            <v>Operating costs per bushel</v>
          </cell>
          <cell r="F46">
            <v>3.6665564195532765</v>
          </cell>
          <cell r="G46">
            <v>3.6665564195532765</v>
          </cell>
          <cell r="H46" t="e">
            <v>#DIV/0!</v>
          </cell>
        </row>
        <row r="47">
          <cell r="D47" t="str">
            <v>Ownership costs per bushel</v>
          </cell>
          <cell r="F47">
            <v>3.2060621717498563</v>
          </cell>
          <cell r="G47">
            <v>0.66060762629531045</v>
          </cell>
          <cell r="H47" t="e">
            <v>#DIV/0!</v>
          </cell>
        </row>
        <row r="48">
          <cell r="D48" t="str">
            <v>Total costs per bushel</v>
          </cell>
          <cell r="F48">
            <v>6.8726185913031319</v>
          </cell>
          <cell r="G48">
            <v>4.3271640458485869</v>
          </cell>
          <cell r="H48" t="e">
            <v>#DIV/0!</v>
          </cell>
        </row>
        <row r="51">
          <cell r="B51" t="str">
            <v>Detailed Report</v>
          </cell>
          <cell r="C51" t="str">
            <v>Wheat</v>
          </cell>
          <cell r="F51" t="str">
            <v>2015 SRW</v>
          </cell>
        </row>
        <row r="53">
          <cell r="B53" t="str">
            <v>Selected input quantities</v>
          </cell>
          <cell r="C53" t="str">
            <v>per acre</v>
          </cell>
          <cell r="F53" t="str">
            <v>Selected input prices</v>
          </cell>
        </row>
        <row r="54">
          <cell r="B54" t="str">
            <v>Yield, bushels</v>
          </cell>
          <cell r="C54">
            <v>55</v>
          </cell>
          <cell r="F54" t="str">
            <v>Farm diesel, per gallon</v>
          </cell>
        </row>
        <row r="55">
          <cell r="B55" t="str">
            <v>Seeding rate, count</v>
          </cell>
          <cell r="C55">
            <v>100</v>
          </cell>
          <cell r="F55" t="str">
            <v>Operating interest, %</v>
          </cell>
        </row>
        <row r="56">
          <cell r="B56" t="str">
            <v>Nitrogen rate, lbs</v>
          </cell>
          <cell r="C56">
            <v>75</v>
          </cell>
          <cell r="F56" t="str">
            <v>Nitrogen, per lb</v>
          </cell>
        </row>
        <row r="57">
          <cell r="B57" t="str">
            <v>Phosphorus rate, lbs</v>
          </cell>
          <cell r="C57">
            <v>35</v>
          </cell>
          <cell r="F57" t="str">
            <v>Phosphorus, per lb</v>
          </cell>
        </row>
        <row r="58">
          <cell r="B58" t="str">
            <v>Potassium rate, lbs</v>
          </cell>
          <cell r="C58">
            <v>20</v>
          </cell>
          <cell r="F58" t="str">
            <v>Potassium, per lb</v>
          </cell>
        </row>
        <row r="59">
          <cell r="B59" t="str">
            <v>Lime rate, tons</v>
          </cell>
          <cell r="C59">
            <v>0.5</v>
          </cell>
          <cell r="F59" t="str">
            <v>Lime, per ton</v>
          </cell>
        </row>
        <row r="60">
          <cell r="B60" t="str">
            <v>Sum of allocated labor, hours</v>
          </cell>
          <cell r="C60">
            <v>0.8155445397093749</v>
          </cell>
          <cell r="F60" t="str">
            <v>Skilled labor, per hour</v>
          </cell>
        </row>
        <row r="61">
          <cell r="B61" t="str">
            <v>Irrigation, inches</v>
          </cell>
          <cell r="C61">
            <v>0</v>
          </cell>
          <cell r="F61" t="str">
            <v>Land value, per acre</v>
          </cell>
        </row>
        <row r="68">
          <cell r="B68" t="str">
            <v>No-till drill (20 ft); 200 MFWD</v>
          </cell>
          <cell r="C68">
            <v>0.11785714285714287</v>
          </cell>
          <cell r="D68">
            <v>1.0371428571428571</v>
          </cell>
          <cell r="E68">
            <v>8.8440812804509861</v>
          </cell>
          <cell r="F68">
            <v>12.466857734277623</v>
          </cell>
          <cell r="G68">
            <v>21.310939014728611</v>
          </cell>
        </row>
        <row r="69">
          <cell r="B69" t="str">
            <v>Boom sprayer (30 ft); 130 MFWD</v>
          </cell>
          <cell r="C69">
            <v>6.5088757396449703E-2</v>
          </cell>
          <cell r="D69">
            <v>0.37230769230769228</v>
          </cell>
          <cell r="E69">
            <v>3.3417888540143723</v>
          </cell>
          <cell r="F69">
            <v>3.1492959305098358</v>
          </cell>
          <cell r="G69">
            <v>6.4910847845242081</v>
          </cell>
        </row>
        <row r="70">
          <cell r="B70" t="str">
            <v>Combine, fixed grain head (30 ft); 275 HP Comb.</v>
          </cell>
          <cell r="C70">
            <v>7.4829931972789115E-2</v>
          </cell>
          <cell r="D70">
            <v>0.90544217687074835</v>
          </cell>
          <cell r="E70">
            <v>8.5786626603383969</v>
          </cell>
          <cell r="F70">
            <v>8.8641254045838682</v>
          </cell>
          <cell r="G70">
            <v>17.442788064922265</v>
          </cell>
        </row>
        <row r="71">
          <cell r="B71" t="str">
            <v>Grain cart (500 bushel); 200 MFWD</v>
          </cell>
          <cell r="C71">
            <v>4.6768707482993194E-2</v>
          </cell>
          <cell r="D71">
            <v>0.41156462585034009</v>
          </cell>
          <cell r="E71">
            <v>2.741955782312925</v>
          </cell>
          <cell r="F71">
            <v>2.5384838435374149</v>
          </cell>
          <cell r="G71">
            <v>5.2804396258503399</v>
          </cell>
        </row>
        <row r="72">
          <cell r="B72" t="str">
            <v>Grain auger 10 in- 5000 bu/hr (70 ft); 130 MFWD</v>
          </cell>
          <cell r="C72">
            <v>1.1000000000000001E-2</v>
          </cell>
          <cell r="D72">
            <v>6.2920000000000004E-2</v>
          </cell>
          <cell r="E72">
            <v>0.46670469999999997</v>
          </cell>
          <cell r="F72">
            <v>0.3875982</v>
          </cell>
          <cell r="G72">
            <v>0.85430289999999998</v>
          </cell>
        </row>
        <row r="73">
          <cell r="B73" t="str">
            <v>Semi, tractor and trailer</v>
          </cell>
          <cell r="C73"/>
          <cell r="D73">
            <v>0.48571428571428577</v>
          </cell>
          <cell r="E73">
            <v>3.1238000000000001</v>
          </cell>
          <cell r="F73">
            <v>2.0147333333333335</v>
          </cell>
          <cell r="G73">
            <v>5.1385333333333332</v>
          </cell>
        </row>
        <row r="74">
          <cell r="B74" t="str">
            <v>Pickup truck</v>
          </cell>
          <cell r="C74"/>
          <cell r="D74">
            <v>0.57692307692307698</v>
          </cell>
          <cell r="E74">
            <v>2.66</v>
          </cell>
          <cell r="F74">
            <v>2.6623250000000001</v>
          </cell>
          <cell r="G74">
            <v>5.3223250000000002</v>
          </cell>
        </row>
        <row r="75">
          <cell r="B75"/>
          <cell r="C75"/>
          <cell r="D75"/>
          <cell r="E75"/>
          <cell r="F75"/>
          <cell r="G75"/>
        </row>
        <row r="76">
          <cell r="B76"/>
          <cell r="C76"/>
          <cell r="D76"/>
          <cell r="E76"/>
          <cell r="F76"/>
          <cell r="G76"/>
        </row>
        <row r="77">
          <cell r="B77"/>
          <cell r="C77"/>
          <cell r="D77"/>
          <cell r="E77"/>
          <cell r="F77"/>
          <cell r="G77"/>
        </row>
        <row r="78">
          <cell r="B78"/>
          <cell r="C78"/>
          <cell r="D78"/>
          <cell r="E78"/>
          <cell r="F78"/>
          <cell r="G78"/>
        </row>
        <row r="79">
          <cell r="B79"/>
          <cell r="C79"/>
          <cell r="D79"/>
          <cell r="E79"/>
          <cell r="F79"/>
          <cell r="G79"/>
        </row>
        <row r="80">
          <cell r="B80"/>
          <cell r="C80"/>
          <cell r="D80"/>
          <cell r="E80"/>
          <cell r="F80"/>
          <cell r="G80"/>
        </row>
        <row r="81">
          <cell r="B81"/>
          <cell r="C81"/>
          <cell r="D81"/>
          <cell r="E81"/>
          <cell r="F81"/>
          <cell r="G81"/>
        </row>
        <row r="82">
          <cell r="B82"/>
          <cell r="C82"/>
          <cell r="D82"/>
          <cell r="E82"/>
          <cell r="F82"/>
          <cell r="G82"/>
        </row>
        <row r="83">
          <cell r="B83"/>
          <cell r="C83"/>
          <cell r="D83"/>
          <cell r="E83"/>
          <cell r="F83"/>
          <cell r="G83"/>
        </row>
        <row r="84">
          <cell r="B84"/>
          <cell r="C84"/>
          <cell r="D84"/>
          <cell r="E84"/>
          <cell r="F84"/>
          <cell r="G84"/>
        </row>
        <row r="85">
          <cell r="B85"/>
          <cell r="C85"/>
          <cell r="D85"/>
          <cell r="E85"/>
          <cell r="F85"/>
          <cell r="G85"/>
        </row>
        <row r="86">
          <cell r="B86"/>
          <cell r="C86"/>
          <cell r="D86"/>
          <cell r="E86"/>
          <cell r="F86"/>
          <cell r="G86"/>
        </row>
        <row r="87">
          <cell r="B87"/>
          <cell r="C87"/>
          <cell r="D87"/>
          <cell r="E87"/>
          <cell r="F87"/>
          <cell r="G87"/>
        </row>
        <row r="88">
          <cell r="B88"/>
          <cell r="C88"/>
          <cell r="D88"/>
          <cell r="E88"/>
          <cell r="F88"/>
          <cell r="G88"/>
        </row>
        <row r="89">
          <cell r="B89"/>
          <cell r="C89"/>
          <cell r="D89"/>
          <cell r="E89"/>
          <cell r="F89"/>
          <cell r="G89"/>
        </row>
        <row r="90">
          <cell r="B90"/>
          <cell r="C90"/>
          <cell r="D90"/>
          <cell r="E90"/>
          <cell r="F90"/>
          <cell r="G90"/>
        </row>
        <row r="91">
          <cell r="B91"/>
          <cell r="C91"/>
          <cell r="D91"/>
          <cell r="E91"/>
          <cell r="F91"/>
          <cell r="G91"/>
        </row>
        <row r="92">
          <cell r="B92"/>
          <cell r="C92"/>
          <cell r="D92"/>
          <cell r="E92"/>
          <cell r="F92"/>
          <cell r="G92"/>
        </row>
        <row r="93">
          <cell r="B93"/>
          <cell r="C93"/>
          <cell r="D93"/>
          <cell r="E93"/>
          <cell r="F93"/>
          <cell r="G93"/>
        </row>
        <row r="94">
          <cell r="B94"/>
          <cell r="C94"/>
          <cell r="D94"/>
          <cell r="E94"/>
          <cell r="F94"/>
          <cell r="G94"/>
        </row>
        <row r="95">
          <cell r="B95"/>
          <cell r="C95"/>
          <cell r="D95"/>
          <cell r="E95"/>
          <cell r="F95"/>
          <cell r="G95"/>
        </row>
        <row r="96">
          <cell r="B96"/>
          <cell r="C96"/>
          <cell r="D96"/>
          <cell r="E96"/>
          <cell r="F96"/>
          <cell r="G96"/>
        </row>
        <row r="97">
          <cell r="B97"/>
          <cell r="C97"/>
          <cell r="D97"/>
          <cell r="E97"/>
          <cell r="F97"/>
          <cell r="G97"/>
        </row>
        <row r="98">
          <cell r="B98"/>
          <cell r="C98"/>
          <cell r="D98"/>
          <cell r="E98"/>
          <cell r="F98"/>
          <cell r="G98"/>
        </row>
        <row r="101">
          <cell r="B101" t="str">
            <v>1 Farm business overhead includes liability insurance, utilities, accounting, etc. Machinery overhead is the sum of opportunity interest,</v>
          </cell>
        </row>
        <row r="102">
          <cell r="B102" t="str">
            <v xml:space="preserve">   property taxes, insurance, and housing. Machinery depreciation is a market value decline due to aging and usage. Thus, a portion of</v>
          </cell>
        </row>
        <row r="103">
          <cell r="B103" t="str">
            <v xml:space="preserve">   depreciation should be considered an operating costs for some decisions. Real estate charge includes land, improvements, taxes.</v>
          </cell>
        </row>
        <row r="104">
          <cell r="B104" t="str">
            <v xml:space="preserve">   Economic costs may differ from rental rates.</v>
          </cell>
        </row>
      </sheetData>
      <sheetData sheetId="15"/>
      <sheetData sheetId="16">
        <row r="4">
          <cell r="H4" t="str">
            <v>130 MFWD</v>
          </cell>
        </row>
        <row r="5">
          <cell r="H5" t="str">
            <v>200 MFWD</v>
          </cell>
        </row>
        <row r="24">
          <cell r="B24" t="str">
            <v>100 HP Comb.</v>
          </cell>
        </row>
        <row r="25">
          <cell r="B25" t="str">
            <v>220 HP Comb.</v>
          </cell>
        </row>
        <row r="26">
          <cell r="B26" t="str">
            <v>275 HP Comb.</v>
          </cell>
        </row>
        <row r="27">
          <cell r="B27" t="str">
            <v>340 HP Comb.</v>
          </cell>
        </row>
        <row r="31">
          <cell r="A31">
            <v>1</v>
          </cell>
        </row>
        <row r="32">
          <cell r="A32" t="str">
            <v>500 bushel</v>
          </cell>
        </row>
        <row r="33">
          <cell r="A33" t="str">
            <v>1000 bushel</v>
          </cell>
        </row>
        <row r="34">
          <cell r="A34" t="str">
            <v>70 ft</v>
          </cell>
        </row>
        <row r="39">
          <cell r="A39" t="str">
            <v>15 ft</v>
          </cell>
        </row>
        <row r="40">
          <cell r="A40" t="str">
            <v>23 ft</v>
          </cell>
        </row>
        <row r="41">
          <cell r="A41" t="str">
            <v>37 ft</v>
          </cell>
        </row>
        <row r="42">
          <cell r="A42" t="str">
            <v>57 ft</v>
          </cell>
        </row>
        <row r="43">
          <cell r="A43" t="str">
            <v>16.3 ft</v>
          </cell>
        </row>
        <row r="44">
          <cell r="A44" t="str">
            <v>21.3 ft</v>
          </cell>
        </row>
        <row r="45">
          <cell r="A45" t="str">
            <v>6 ft</v>
          </cell>
        </row>
        <row r="46">
          <cell r="A46" t="str">
            <v>7.5 ft</v>
          </cell>
        </row>
        <row r="47">
          <cell r="A47" t="str">
            <v>9 ft</v>
          </cell>
        </row>
        <row r="48">
          <cell r="A48" t="str">
            <v>12 ft</v>
          </cell>
        </row>
        <row r="49">
          <cell r="A49" t="str">
            <v>18 ft</v>
          </cell>
        </row>
        <row r="50">
          <cell r="A50" t="str">
            <v>23 ft</v>
          </cell>
        </row>
        <row r="51">
          <cell r="A51" t="str">
            <v>30 ft</v>
          </cell>
        </row>
        <row r="52">
          <cell r="A52" t="str">
            <v>35 ft</v>
          </cell>
        </row>
        <row r="53">
          <cell r="A53" t="str">
            <v>47 ft</v>
          </cell>
        </row>
        <row r="54">
          <cell r="A54" t="str">
            <v>60 ft</v>
          </cell>
        </row>
        <row r="55">
          <cell r="A55" t="str">
            <v>11 ft</v>
          </cell>
        </row>
        <row r="56">
          <cell r="A56" t="str">
            <v>21 ft</v>
          </cell>
        </row>
        <row r="57">
          <cell r="A57" t="str">
            <v>25 ft</v>
          </cell>
        </row>
        <row r="58">
          <cell r="A58" t="str">
            <v>30 ft</v>
          </cell>
        </row>
        <row r="59">
          <cell r="A59" t="str">
            <v>25" O.C., 10 ft</v>
          </cell>
        </row>
        <row r="60">
          <cell r="A60" t="str">
            <v>25" O.C., 18 ft</v>
          </cell>
        </row>
        <row r="61">
          <cell r="A61" t="str">
            <v>30" O.C., 17 ft</v>
          </cell>
        </row>
        <row r="62">
          <cell r="A62" t="str">
            <v>30" O.C., 22.5 ft</v>
          </cell>
        </row>
        <row r="63">
          <cell r="A63" t="str">
            <v>16 ft</v>
          </cell>
        </row>
        <row r="64">
          <cell r="A64" t="str">
            <v>25 ft</v>
          </cell>
        </row>
        <row r="65">
          <cell r="A65" t="str">
            <v>33 ft</v>
          </cell>
        </row>
        <row r="66">
          <cell r="A66" t="str">
            <v>17.5 ft</v>
          </cell>
        </row>
        <row r="67">
          <cell r="A67" t="str">
            <v>22.5 ft</v>
          </cell>
        </row>
        <row r="68">
          <cell r="A68" t="str">
            <v>22 ft</v>
          </cell>
        </row>
        <row r="69">
          <cell r="A69" t="str">
            <v>38 ft</v>
          </cell>
        </row>
        <row r="70">
          <cell r="A70" t="str">
            <v>12 ft</v>
          </cell>
        </row>
        <row r="71">
          <cell r="A71" t="str">
            <v>28 ft</v>
          </cell>
        </row>
        <row r="72">
          <cell r="A72" t="str">
            <v>6 row</v>
          </cell>
        </row>
        <row r="73">
          <cell r="A73" t="str">
            <v>8 row</v>
          </cell>
        </row>
        <row r="74">
          <cell r="A74" t="str">
            <v>12 row</v>
          </cell>
        </row>
        <row r="75">
          <cell r="A75" t="str">
            <v>16 row</v>
          </cell>
        </row>
        <row r="76">
          <cell r="A76" t="str">
            <v>(6/11 row 30/15")</v>
          </cell>
        </row>
        <row r="77">
          <cell r="A77" t="str">
            <v>(8/15 row 30/15")</v>
          </cell>
        </row>
        <row r="78">
          <cell r="A78" t="str">
            <v>(12/23 row 30/15")</v>
          </cell>
        </row>
        <row r="79">
          <cell r="A79" t="str">
            <v>(16/31 row 30/15")</v>
          </cell>
        </row>
        <row r="80">
          <cell r="A80" t="str">
            <v>6 row</v>
          </cell>
        </row>
        <row r="81">
          <cell r="A81" t="str">
            <v>8 row</v>
          </cell>
        </row>
        <row r="82">
          <cell r="A82" t="str">
            <v>12 row</v>
          </cell>
        </row>
        <row r="83">
          <cell r="A83" t="str">
            <v>16 row</v>
          </cell>
        </row>
        <row r="84">
          <cell r="A84" t="str">
            <v>16 ft</v>
          </cell>
        </row>
        <row r="85">
          <cell r="A85" t="str">
            <v>20 ft</v>
          </cell>
        </row>
        <row r="86">
          <cell r="A86" t="str">
            <v>25 ft</v>
          </cell>
        </row>
        <row r="87">
          <cell r="A87" t="str">
            <v>30 ft</v>
          </cell>
        </row>
        <row r="88">
          <cell r="A88" t="str">
            <v>15 ft</v>
          </cell>
        </row>
        <row r="89">
          <cell r="A89" t="str">
            <v>20 ft</v>
          </cell>
        </row>
        <row r="90">
          <cell r="A90" t="str">
            <v>30 ft</v>
          </cell>
        </row>
        <row r="91">
          <cell r="A91" t="str">
            <v>6 row</v>
          </cell>
        </row>
        <row r="92">
          <cell r="A92" t="str">
            <v>8 row</v>
          </cell>
        </row>
        <row r="93">
          <cell r="A93" t="str">
            <v>12 row</v>
          </cell>
        </row>
        <row r="94">
          <cell r="A94" t="str">
            <v>16 row</v>
          </cell>
        </row>
        <row r="95">
          <cell r="A95" t="str">
            <v>6 row</v>
          </cell>
        </row>
        <row r="96">
          <cell r="A96" t="str">
            <v>8 row</v>
          </cell>
        </row>
        <row r="97">
          <cell r="A97" t="str">
            <v>12 row</v>
          </cell>
        </row>
        <row r="99">
          <cell r="A99" t="str">
            <v>60 ft</v>
          </cell>
        </row>
        <row r="100">
          <cell r="A100" t="str">
            <v>30 ft</v>
          </cell>
        </row>
        <row r="101">
          <cell r="A101" t="str">
            <v>50 ft</v>
          </cell>
        </row>
        <row r="104">
          <cell r="A104" t="str">
            <v>7 ft swath</v>
          </cell>
        </row>
        <row r="105">
          <cell r="A105" t="str">
            <v>8 ft swath</v>
          </cell>
        </row>
        <row r="106">
          <cell r="A106" t="str">
            <v>9 ft swath</v>
          </cell>
        </row>
        <row r="107">
          <cell r="A107" t="str">
            <v>10 ft swath</v>
          </cell>
        </row>
        <row r="108">
          <cell r="A108" t="str">
            <v>6 ft</v>
          </cell>
        </row>
        <row r="109">
          <cell r="A109" t="str">
            <v>9 ft</v>
          </cell>
        </row>
        <row r="110">
          <cell r="A110" t="str">
            <v>8.5 ft</v>
          </cell>
        </row>
        <row r="111">
          <cell r="A111" t="str">
            <v>9.5 ft</v>
          </cell>
        </row>
        <row r="112">
          <cell r="A112" t="str">
            <v>tandem, 24 ft</v>
          </cell>
        </row>
        <row r="113">
          <cell r="A113" t="str">
            <v>7 ft swath</v>
          </cell>
        </row>
        <row r="114">
          <cell r="A114" t="str">
            <v>9 ft swath</v>
          </cell>
        </row>
        <row r="115">
          <cell r="A115" t="str">
            <v>12 ft swath</v>
          </cell>
        </row>
        <row r="118">
          <cell r="A118" t="str">
            <v>750 lb</v>
          </cell>
        </row>
        <row r="119">
          <cell r="A119" t="str">
            <v>1000 lb</v>
          </cell>
        </row>
        <row r="120">
          <cell r="A120" t="str">
            <v>1500 lb</v>
          </cell>
        </row>
        <row r="121">
          <cell r="A121" t="str">
            <v>2000 lb</v>
          </cell>
        </row>
        <row r="125">
          <cell r="A125" t="str">
            <v>15 ft</v>
          </cell>
        </row>
        <row r="126">
          <cell r="A126" t="str">
            <v>20 ft</v>
          </cell>
        </row>
        <row r="127">
          <cell r="A127" t="str">
            <v>30 ft</v>
          </cell>
        </row>
        <row r="128">
          <cell r="A128" t="str">
            <v>15 ft</v>
          </cell>
        </row>
        <row r="129">
          <cell r="A129" t="str">
            <v>18 ft</v>
          </cell>
        </row>
        <row r="130">
          <cell r="A130" t="str">
            <v>20 ft</v>
          </cell>
        </row>
        <row r="131">
          <cell r="A131" t="str">
            <v>25 ft</v>
          </cell>
        </row>
        <row r="132">
          <cell r="A132" t="str">
            <v>30 ft</v>
          </cell>
        </row>
        <row r="133">
          <cell r="A133" t="str">
            <v>6 row</v>
          </cell>
        </row>
        <row r="134">
          <cell r="A134" t="str">
            <v>8 row</v>
          </cell>
        </row>
        <row r="135">
          <cell r="A135" t="str">
            <v>12 row</v>
          </cell>
        </row>
        <row r="136">
          <cell r="A136" t="str">
            <v>8 wheel, 17.5 ft</v>
          </cell>
        </row>
        <row r="137">
          <cell r="A137" t="str">
            <v>10 wheel, 20 ft</v>
          </cell>
        </row>
        <row r="138">
          <cell r="A138" t="str">
            <v>12 wheel, 25 ft</v>
          </cell>
        </row>
        <row r="139">
          <cell r="A139" t="str">
            <v>16 wheel, 31 ft</v>
          </cell>
        </row>
        <row r="140">
          <cell r="A140" t="str">
            <v>20 wheel, 36 ft</v>
          </cell>
        </row>
        <row r="157">
          <cell r="G157" t="str">
            <v>Irrigated</v>
          </cell>
          <cell r="I157" t="str">
            <v>Corn, grain</v>
          </cell>
          <cell r="L157" t="str">
            <v>Bushel</v>
          </cell>
        </row>
        <row r="158">
          <cell r="C158">
            <v>6</v>
          </cell>
          <cell r="G158" t="str">
            <v>Dryland</v>
          </cell>
          <cell r="I158" t="str">
            <v>Corn, silage</v>
          </cell>
          <cell r="L158" t="str">
            <v>Ton</v>
          </cell>
        </row>
        <row r="159">
          <cell r="C159">
            <v>1</v>
          </cell>
          <cell r="I159" t="str">
            <v>Grain sorghum</v>
          </cell>
          <cell r="L159" t="str">
            <v>Cwt</v>
          </cell>
        </row>
        <row r="160">
          <cell r="C160">
            <v>1</v>
          </cell>
          <cell r="G160" t="str">
            <v>Owned land</v>
          </cell>
          <cell r="I160" t="str">
            <v>Soybeans</v>
          </cell>
          <cell r="L160" t="str">
            <v>Bale</v>
          </cell>
        </row>
        <row r="161">
          <cell r="C161">
            <v>2</v>
          </cell>
          <cell r="G161" t="str">
            <v>Cash rent</v>
          </cell>
          <cell r="I161" t="str">
            <v>Soybeans, double crop</v>
          </cell>
        </row>
        <row r="162">
          <cell r="C162">
            <v>1</v>
          </cell>
          <cell r="G162" t="str">
            <v>Share lease</v>
          </cell>
          <cell r="I162" t="str">
            <v>Wheat</v>
          </cell>
        </row>
        <row r="163">
          <cell r="I163" t="str">
            <v>Wheat &amp; straw</v>
          </cell>
        </row>
        <row r="164">
          <cell r="C164" t="str">
            <v>Wheat</v>
          </cell>
        </row>
      </sheetData>
      <sheetData sheetId="17">
        <row r="3">
          <cell r="E3" t="str">
            <v>cropnum-22706</v>
          </cell>
          <cell r="F3">
            <v>6</v>
          </cell>
        </row>
        <row r="4">
          <cell r="E4" t="str">
            <v>primyieldtype-22706</v>
          </cell>
          <cell r="F4">
            <v>1</v>
          </cell>
        </row>
        <row r="5">
          <cell r="E5" t="str">
            <v>byyieldtype-22706</v>
          </cell>
          <cell r="F5">
            <v>1</v>
          </cell>
        </row>
        <row r="6">
          <cell r="E6" t="str">
            <v>irrigation2-22706</v>
          </cell>
          <cell r="F6">
            <v>2</v>
          </cell>
        </row>
        <row r="7">
          <cell r="E7" t="str">
            <v>leasenum-22706</v>
          </cell>
          <cell r="F7">
            <v>1</v>
          </cell>
        </row>
        <row r="8">
          <cell r="E8" t="str">
            <v>40hp-22706</v>
          </cell>
          <cell r="F8">
            <v>0</v>
          </cell>
        </row>
        <row r="9">
          <cell r="E9" t="str">
            <v>60hp-22706</v>
          </cell>
          <cell r="F9">
            <v>0</v>
          </cell>
        </row>
        <row r="10">
          <cell r="E10" t="str">
            <v>75hp-22706</v>
          </cell>
          <cell r="F10">
            <v>0</v>
          </cell>
        </row>
        <row r="11">
          <cell r="E11" t="str">
            <v>105twd-22706</v>
          </cell>
          <cell r="F11">
            <v>0</v>
          </cell>
        </row>
        <row r="12">
          <cell r="E12" t="str">
            <v>140twd-22706</v>
          </cell>
          <cell r="F12">
            <v>0</v>
          </cell>
        </row>
        <row r="13">
          <cell r="E13" t="str">
            <v>105mfwd-22706</v>
          </cell>
          <cell r="F13">
            <v>0</v>
          </cell>
        </row>
        <row r="14">
          <cell r="E14" t="str">
            <v>130mfwd-22706</v>
          </cell>
          <cell r="F14" t="b">
            <v>1</v>
          </cell>
        </row>
        <row r="15">
          <cell r="E15" t="str">
            <v>160mfwd-22706</v>
          </cell>
          <cell r="F15">
            <v>0</v>
          </cell>
        </row>
        <row r="16">
          <cell r="E16" t="str">
            <v>200mfwd-22706</v>
          </cell>
          <cell r="F16" t="b">
            <v>1</v>
          </cell>
        </row>
        <row r="17">
          <cell r="E17" t="str">
            <v>225mfwd-22706</v>
          </cell>
          <cell r="F17">
            <v>0</v>
          </cell>
        </row>
        <row r="18">
          <cell r="E18" t="str">
            <v>2604wd-22706</v>
          </cell>
          <cell r="F18">
            <v>0</v>
          </cell>
        </row>
        <row r="19">
          <cell r="E19" t="str">
            <v>3104wd-22706</v>
          </cell>
          <cell r="F19">
            <v>0</v>
          </cell>
        </row>
        <row r="20">
          <cell r="E20" t="str">
            <v>360 4wd-22706</v>
          </cell>
          <cell r="F20">
            <v>0</v>
          </cell>
        </row>
        <row r="21">
          <cell r="E21" t="str">
            <v>4254wd-22706</v>
          </cell>
          <cell r="F21">
            <v>0</v>
          </cell>
        </row>
        <row r="22">
          <cell r="E22" t="str">
            <v>225tt-22706</v>
          </cell>
          <cell r="F22">
            <v>0</v>
          </cell>
        </row>
        <row r="23">
          <cell r="E23" t="str">
            <v>425tt-22706</v>
          </cell>
          <cell r="F23">
            <v>0</v>
          </cell>
        </row>
        <row r="24">
          <cell r="E24" t="str">
            <v>description-1-22706</v>
          </cell>
          <cell r="F24" t="str">
            <v>2014 SRW</v>
          </cell>
        </row>
        <row r="25">
          <cell r="E25" t="str">
            <v>acres-1-22706</v>
          </cell>
          <cell r="F25">
            <v>100</v>
          </cell>
        </row>
        <row r="26">
          <cell r="E26" t="str">
            <v>receipts-1-22706</v>
          </cell>
          <cell r="F26">
            <v>55</v>
          </cell>
        </row>
        <row r="27">
          <cell r="E27" t="str">
            <v>receipts-2-22706</v>
          </cell>
          <cell r="F27">
            <v>6.75</v>
          </cell>
        </row>
        <row r="28">
          <cell r="E28" t="str">
            <v>receipts-3-22706</v>
          </cell>
          <cell r="F28">
            <v>0</v>
          </cell>
        </row>
        <row r="29">
          <cell r="E29" t="str">
            <v>receipts-4-22706</v>
          </cell>
          <cell r="F29">
            <v>0</v>
          </cell>
        </row>
        <row r="30">
          <cell r="E30" t="str">
            <v>receipts-5-22706</v>
          </cell>
          <cell r="F30">
            <v>0</v>
          </cell>
        </row>
        <row r="31">
          <cell r="E31" t="str">
            <v>receipts-6-22706</v>
          </cell>
          <cell r="F31">
            <v>0</v>
          </cell>
        </row>
        <row r="32">
          <cell r="E32" t="str">
            <v>seed1-1-22706</v>
          </cell>
          <cell r="F32">
            <v>0</v>
          </cell>
        </row>
        <row r="33">
          <cell r="E33" t="str">
            <v>seed1-2-22706</v>
          </cell>
          <cell r="F33">
            <v>0</v>
          </cell>
        </row>
        <row r="34">
          <cell r="E34" t="str">
            <v>seed1-3-22706</v>
          </cell>
          <cell r="F34">
            <v>0</v>
          </cell>
        </row>
        <row r="35">
          <cell r="E35" t="str">
            <v>seed1-4-22706</v>
          </cell>
          <cell r="F35">
            <v>18</v>
          </cell>
        </row>
        <row r="36">
          <cell r="E36" t="str">
            <v>seed1-5-22706</v>
          </cell>
          <cell r="F36">
            <v>0</v>
          </cell>
        </row>
        <row r="37">
          <cell r="E37" t="str">
            <v>seed1-6-22706</v>
          </cell>
          <cell r="F37">
            <v>0</v>
          </cell>
        </row>
        <row r="38">
          <cell r="E38" t="str">
            <v>seed2-1-22706</v>
          </cell>
          <cell r="F38">
            <v>0</v>
          </cell>
        </row>
        <row r="39">
          <cell r="E39" t="str">
            <v>seed2-2-22706</v>
          </cell>
          <cell r="F39">
            <v>0</v>
          </cell>
        </row>
        <row r="40">
          <cell r="E40" t="str">
            <v>seed2-3-22706</v>
          </cell>
          <cell r="F40">
            <v>0</v>
          </cell>
        </row>
        <row r="41">
          <cell r="E41" t="str">
            <v>seed2-4-22706</v>
          </cell>
          <cell r="F41">
            <v>100</v>
          </cell>
        </row>
        <row r="42">
          <cell r="E42" t="str">
            <v>seed2-5-22706</v>
          </cell>
          <cell r="F42">
            <v>0</v>
          </cell>
        </row>
        <row r="43">
          <cell r="E43" t="str">
            <v>seed2-6-22706</v>
          </cell>
          <cell r="F43">
            <v>0</v>
          </cell>
        </row>
        <row r="44">
          <cell r="E44" t="str">
            <v>fertilizer1-1-22706</v>
          </cell>
          <cell r="F44">
            <v>0</v>
          </cell>
        </row>
        <row r="45">
          <cell r="E45" t="str">
            <v>fertilizer1-2-22706</v>
          </cell>
          <cell r="F45">
            <v>75</v>
          </cell>
        </row>
        <row r="46">
          <cell r="E46" t="str">
            <v>fertilizer1-3-22706</v>
          </cell>
          <cell r="F46">
            <v>0</v>
          </cell>
        </row>
        <row r="47">
          <cell r="E47" t="str">
            <v>fertilizer1-4-22706</v>
          </cell>
          <cell r="F47">
            <v>35</v>
          </cell>
        </row>
        <row r="48">
          <cell r="E48" t="str">
            <v>fertilizer1-5-22706</v>
          </cell>
          <cell r="F48">
            <v>20</v>
          </cell>
        </row>
        <row r="49">
          <cell r="E49" t="str">
            <v>fertilizer1-6-22706</v>
          </cell>
          <cell r="F49">
            <v>0.5</v>
          </cell>
        </row>
        <row r="50">
          <cell r="E50" t="str">
            <v>fertilizer1-7-22706</v>
          </cell>
          <cell r="F50">
            <v>10</v>
          </cell>
        </row>
        <row r="51">
          <cell r="E51" t="str">
            <v>fertilizer1-8-22706</v>
          </cell>
          <cell r="F51">
            <v>0</v>
          </cell>
        </row>
        <row r="52">
          <cell r="E52" t="str">
            <v>fertilizer2-1-22706</v>
          </cell>
          <cell r="F52">
            <v>0</v>
          </cell>
        </row>
        <row r="53">
          <cell r="E53" t="str">
            <v>fertilizer2-2-22706</v>
          </cell>
          <cell r="F53">
            <v>0.47</v>
          </cell>
        </row>
        <row r="54">
          <cell r="E54" t="str">
            <v>fertilizer2-3-22706</v>
          </cell>
          <cell r="F54">
            <v>0</v>
          </cell>
        </row>
        <row r="55">
          <cell r="E55" t="str">
            <v>fertilizer2-4-22706</v>
          </cell>
          <cell r="F55">
            <v>0.41</v>
          </cell>
        </row>
        <row r="56">
          <cell r="E56" t="str">
            <v>fertilizer2-5-22706</v>
          </cell>
          <cell r="F56">
            <v>0.44</v>
          </cell>
        </row>
        <row r="57">
          <cell r="E57" t="str">
            <v>fertilizer2-6-22706</v>
          </cell>
          <cell r="F57">
            <v>10</v>
          </cell>
        </row>
        <row r="58">
          <cell r="E58" t="str">
            <v>fertilizer2-7-22706</v>
          </cell>
          <cell r="F58">
            <v>0.55000000000000004</v>
          </cell>
        </row>
        <row r="59">
          <cell r="E59" t="str">
            <v>fertilizer2-8-22706</v>
          </cell>
          <cell r="F59">
            <v>0</v>
          </cell>
        </row>
        <row r="60">
          <cell r="E60" t="str">
            <v>herbicide1-1-22706</v>
          </cell>
          <cell r="F60">
            <v>0</v>
          </cell>
        </row>
        <row r="61">
          <cell r="E61" t="str">
            <v>herbicide1-2-22706</v>
          </cell>
          <cell r="F61">
            <v>0</v>
          </cell>
        </row>
        <row r="62">
          <cell r="E62" t="str">
            <v>herbicide1-3-22706</v>
          </cell>
          <cell r="F62">
            <v>0</v>
          </cell>
        </row>
        <row r="63">
          <cell r="E63" t="str">
            <v>herbicide1-4-22706</v>
          </cell>
          <cell r="F63">
            <v>1</v>
          </cell>
        </row>
        <row r="64">
          <cell r="E64" t="str">
            <v>herbicide1-5-22706</v>
          </cell>
          <cell r="F64">
            <v>0</v>
          </cell>
        </row>
        <row r="65">
          <cell r="E65" t="str">
            <v>herbicide1-6-22706</v>
          </cell>
          <cell r="F65">
            <v>0</v>
          </cell>
        </row>
        <row r="66">
          <cell r="E66" t="str">
            <v>herbicide1-7-22706</v>
          </cell>
          <cell r="F66">
            <v>0</v>
          </cell>
        </row>
        <row r="67">
          <cell r="E67" t="str">
            <v>herbicide1-8-22706</v>
          </cell>
          <cell r="F67">
            <v>0</v>
          </cell>
        </row>
        <row r="68">
          <cell r="E68" t="str">
            <v>herbicide2-1-22706</v>
          </cell>
          <cell r="F68">
            <v>0</v>
          </cell>
        </row>
        <row r="69">
          <cell r="E69" t="str">
            <v>herbicide2-2-22706</v>
          </cell>
          <cell r="F69">
            <v>0</v>
          </cell>
        </row>
        <row r="70">
          <cell r="E70" t="str">
            <v>herbicide2-3-22706</v>
          </cell>
          <cell r="F70">
            <v>0</v>
          </cell>
        </row>
        <row r="71">
          <cell r="E71" t="str">
            <v>herbicide2-4-22706</v>
          </cell>
          <cell r="F71">
            <v>19</v>
          </cell>
        </row>
        <row r="72">
          <cell r="E72" t="str">
            <v>herbicide2-5-22706</v>
          </cell>
          <cell r="F72">
            <v>0</v>
          </cell>
        </row>
        <row r="73">
          <cell r="E73" t="str">
            <v>herbicide2-6-22706</v>
          </cell>
          <cell r="F73">
            <v>0</v>
          </cell>
        </row>
        <row r="74">
          <cell r="E74" t="str">
            <v>herbicide2-7-22706</v>
          </cell>
          <cell r="F74">
            <v>0</v>
          </cell>
        </row>
        <row r="75">
          <cell r="E75" t="str">
            <v>herbicide2-8-22706</v>
          </cell>
          <cell r="F75">
            <v>0</v>
          </cell>
        </row>
        <row r="76">
          <cell r="E76" t="str">
            <v>herbicide2-9-22706</v>
          </cell>
          <cell r="F76">
            <v>0</v>
          </cell>
        </row>
        <row r="77">
          <cell r="E77" t="str">
            <v>insecticide1-1-22706</v>
          </cell>
          <cell r="F77">
            <v>0</v>
          </cell>
        </row>
        <row r="78">
          <cell r="E78" t="str">
            <v>insecticide1-2-22706</v>
          </cell>
          <cell r="F78">
            <v>0</v>
          </cell>
        </row>
        <row r="79">
          <cell r="E79" t="str">
            <v>insecticide1-3-22706</v>
          </cell>
          <cell r="F79">
            <v>0</v>
          </cell>
        </row>
        <row r="80">
          <cell r="E80" t="str">
            <v>insecticide1-4-22706</v>
          </cell>
          <cell r="F80">
            <v>0</v>
          </cell>
        </row>
        <row r="81">
          <cell r="E81" t="str">
            <v>insecticide2-1-22706</v>
          </cell>
          <cell r="F81">
            <v>0</v>
          </cell>
        </row>
        <row r="82">
          <cell r="E82" t="str">
            <v>insecticide2-2-22706</v>
          </cell>
          <cell r="F82">
            <v>0</v>
          </cell>
        </row>
        <row r="83">
          <cell r="E83" t="str">
            <v>insecticide2-3-22706</v>
          </cell>
          <cell r="F83">
            <v>0</v>
          </cell>
        </row>
        <row r="84">
          <cell r="E84" t="str">
            <v>insecticide2-4-22706</v>
          </cell>
          <cell r="F84">
            <v>0</v>
          </cell>
        </row>
        <row r="85">
          <cell r="E85" t="str">
            <v>insecticide2-5-22706</v>
          </cell>
          <cell r="F85">
            <v>0</v>
          </cell>
        </row>
        <row r="86">
          <cell r="E86" t="str">
            <v>labor-1-22706</v>
          </cell>
          <cell r="F86">
            <v>0.5</v>
          </cell>
        </row>
        <row r="87">
          <cell r="E87" t="str">
            <v>labor-2-22706</v>
          </cell>
          <cell r="F87">
            <v>12.5</v>
          </cell>
        </row>
        <row r="88">
          <cell r="E88" t="str">
            <v>labor-3-22706</v>
          </cell>
          <cell r="F88">
            <v>18</v>
          </cell>
        </row>
        <row r="89">
          <cell r="E89" t="str">
            <v>irrigation1-1-22706</v>
          </cell>
          <cell r="F89">
            <v>0</v>
          </cell>
        </row>
        <row r="90">
          <cell r="E90" t="str">
            <v>irrigation1-2-22706</v>
          </cell>
          <cell r="F90">
            <v>0</v>
          </cell>
        </row>
        <row r="91">
          <cell r="E91" t="str">
            <v>irrigation1-3-22706</v>
          </cell>
          <cell r="F91">
            <v>0</v>
          </cell>
        </row>
        <row r="92">
          <cell r="E92" t="str">
            <v>land-1-22706</v>
          </cell>
          <cell r="F92">
            <v>3600</v>
          </cell>
        </row>
        <row r="93">
          <cell r="E93" t="str">
            <v>land-2-22706</v>
          </cell>
          <cell r="F93">
            <v>5</v>
          </cell>
        </row>
        <row r="94">
          <cell r="E94" t="str">
            <v>land-3-22706</v>
          </cell>
          <cell r="F94">
            <v>0</v>
          </cell>
        </row>
        <row r="95">
          <cell r="E95" t="str">
            <v>land-3-9106</v>
          </cell>
          <cell r="F95">
            <v>0</v>
          </cell>
        </row>
        <row r="96">
          <cell r="E96" t="str">
            <v>land-4-22706</v>
          </cell>
          <cell r="F96">
            <v>0</v>
          </cell>
        </row>
        <row r="97">
          <cell r="E97" t="str">
            <v>otheritems1-1-22706</v>
          </cell>
          <cell r="F97">
            <v>6</v>
          </cell>
        </row>
        <row r="98">
          <cell r="E98" t="str">
            <v>otheritems1-2-22706</v>
          </cell>
          <cell r="F98">
            <v>3.6</v>
          </cell>
        </row>
        <row r="99">
          <cell r="E99" t="str">
            <v>otheritems1-3-22706</v>
          </cell>
          <cell r="F99">
            <v>3.3</v>
          </cell>
        </row>
        <row r="100">
          <cell r="E100" t="str">
            <v>otheritems1-4-22706</v>
          </cell>
          <cell r="F100">
            <v>1</v>
          </cell>
        </row>
        <row r="101">
          <cell r="E101" t="str">
            <v>otheritems1-5-22706</v>
          </cell>
          <cell r="F101">
            <v>0</v>
          </cell>
        </row>
        <row r="102">
          <cell r="E102" t="str">
            <v>otheritems1-6-22706</v>
          </cell>
          <cell r="F102">
            <v>18</v>
          </cell>
        </row>
        <row r="103">
          <cell r="E103" t="str">
            <v>otheritems1-7-22706</v>
          </cell>
          <cell r="F103">
            <v>0</v>
          </cell>
        </row>
        <row r="104">
          <cell r="E104" t="str">
            <v>postharvest-1-22706</v>
          </cell>
          <cell r="F104">
            <v>0</v>
          </cell>
        </row>
        <row r="105">
          <cell r="E105" t="str">
            <v>postharvest-2-22706</v>
          </cell>
          <cell r="F105">
            <v>0</v>
          </cell>
        </row>
        <row r="106">
          <cell r="E106" t="str">
            <v>postharvest-3-22706</v>
          </cell>
          <cell r="F106">
            <v>0</v>
          </cell>
        </row>
        <row r="107">
          <cell r="E107" t="str">
            <v>postharvest-4-22706</v>
          </cell>
          <cell r="F107">
            <v>0</v>
          </cell>
        </row>
        <row r="108">
          <cell r="E108" t="str">
            <v>postharvest-5-22706</v>
          </cell>
          <cell r="F108">
            <v>0</v>
          </cell>
        </row>
        <row r="109">
          <cell r="E109" t="str">
            <v>postharvest-6-22706</v>
          </cell>
          <cell r="F109">
            <v>5</v>
          </cell>
        </row>
        <row r="110">
          <cell r="E110" t="str">
            <v>postharvest-7-22706</v>
          </cell>
          <cell r="F110">
            <v>0</v>
          </cell>
        </row>
        <row r="111">
          <cell r="E111" t="str">
            <v>postharvest-8-22706</v>
          </cell>
          <cell r="F111">
            <v>0</v>
          </cell>
        </row>
        <row r="112">
          <cell r="E112" t="str">
            <v>postharvest-9-22706</v>
          </cell>
          <cell r="F112">
            <v>0</v>
          </cell>
        </row>
        <row r="113">
          <cell r="E113" t="str">
            <v>postharvest-10-22706</v>
          </cell>
          <cell r="F113">
            <v>6800</v>
          </cell>
        </row>
        <row r="114">
          <cell r="E114" t="str">
            <v>overhead-1-22706</v>
          </cell>
          <cell r="F114">
            <v>0</v>
          </cell>
        </row>
        <row r="115">
          <cell r="E115" t="str">
            <v>overhead-2-22706</v>
          </cell>
          <cell r="F115">
            <v>0</v>
          </cell>
        </row>
        <row r="116">
          <cell r="E116" t="str">
            <v>overhead-3-22706</v>
          </cell>
          <cell r="F116">
            <v>8500</v>
          </cell>
        </row>
        <row r="117">
          <cell r="E117" t="str">
            <v>overhead-4-22706</v>
          </cell>
          <cell r="F117">
            <v>5</v>
          </cell>
        </row>
        <row r="118">
          <cell r="E118" t="str">
            <v>overhead-5-22706</v>
          </cell>
          <cell r="F118">
            <v>15000</v>
          </cell>
        </row>
        <row r="119">
          <cell r="E119" t="str">
            <v>overhead-6-22706</v>
          </cell>
          <cell r="F119">
            <v>5</v>
          </cell>
        </row>
        <row r="120">
          <cell r="E120" t="str">
            <v>landlord_share-1-22706</v>
          </cell>
          <cell r="F120">
            <v>0</v>
          </cell>
        </row>
        <row r="121">
          <cell r="E121" t="str">
            <v>landlord_share-2-22706</v>
          </cell>
          <cell r="F121">
            <v>0</v>
          </cell>
        </row>
        <row r="122">
          <cell r="E122" t="str">
            <v>landlord_share-3-22706</v>
          </cell>
          <cell r="F122">
            <v>0</v>
          </cell>
        </row>
        <row r="123">
          <cell r="E123" t="str">
            <v>landlord_share-4-22706</v>
          </cell>
          <cell r="F123">
            <v>0</v>
          </cell>
        </row>
        <row r="124">
          <cell r="E124" t="str">
            <v>landlord_share-5-22706</v>
          </cell>
          <cell r="F124">
            <v>0</v>
          </cell>
        </row>
        <row r="125">
          <cell r="E125" t="str">
            <v>landlord_share-6-22706</v>
          </cell>
          <cell r="F125">
            <v>0</v>
          </cell>
        </row>
        <row r="126">
          <cell r="E126" t="str">
            <v>landlord_share-7-22706</v>
          </cell>
          <cell r="F126">
            <v>0</v>
          </cell>
        </row>
        <row r="127">
          <cell r="E127" t="str">
            <v>landlord_share-8-22706</v>
          </cell>
          <cell r="F127">
            <v>0</v>
          </cell>
        </row>
        <row r="128">
          <cell r="E128" t="str">
            <v>landlord_share-9-22706</v>
          </cell>
          <cell r="F128">
            <v>0</v>
          </cell>
        </row>
        <row r="129">
          <cell r="E129" t="str">
            <v>landlord_share-10-22706</v>
          </cell>
          <cell r="F129">
            <v>0</v>
          </cell>
        </row>
        <row r="130">
          <cell r="E130" t="str">
            <v>landlord_share-11-22706</v>
          </cell>
          <cell r="F130">
            <v>0</v>
          </cell>
        </row>
        <row r="131">
          <cell r="E131" t="str">
            <v>customhire1-1-22706</v>
          </cell>
          <cell r="F131">
            <v>5.5</v>
          </cell>
        </row>
        <row r="132">
          <cell r="E132" t="str">
            <v>customhire1-2-22706</v>
          </cell>
          <cell r="F132">
            <v>0</v>
          </cell>
        </row>
        <row r="133">
          <cell r="E133" t="str">
            <v>customhire1-3-22706</v>
          </cell>
          <cell r="F133">
            <v>0</v>
          </cell>
        </row>
        <row r="134">
          <cell r="E134" t="str">
            <v>customhire1-4-22706</v>
          </cell>
          <cell r="F134">
            <v>0</v>
          </cell>
        </row>
        <row r="135">
          <cell r="E135" t="str">
            <v>customhire1-5-22706</v>
          </cell>
          <cell r="F135">
            <v>0</v>
          </cell>
        </row>
        <row r="136">
          <cell r="E136" t="str">
            <v>customhire1-6-22706</v>
          </cell>
          <cell r="F136">
            <v>0</v>
          </cell>
        </row>
        <row r="137">
          <cell r="E137" t="str">
            <v>customhire1-7-22706</v>
          </cell>
          <cell r="F137">
            <v>0</v>
          </cell>
        </row>
        <row r="138">
          <cell r="E138" t="str">
            <v>customhire1-8-22706</v>
          </cell>
          <cell r="F138">
            <v>0</v>
          </cell>
        </row>
        <row r="139">
          <cell r="E139" t="str">
            <v>customhire1-9-22706</v>
          </cell>
          <cell r="F139">
            <v>0</v>
          </cell>
        </row>
        <row r="140">
          <cell r="E140" t="str">
            <v>customhire1-10-22706</v>
          </cell>
          <cell r="F140">
            <v>0</v>
          </cell>
        </row>
        <row r="141">
          <cell r="E141" t="str">
            <v>customhire1-11-22706</v>
          </cell>
          <cell r="F141">
            <v>0</v>
          </cell>
        </row>
        <row r="142">
          <cell r="E142" t="str">
            <v>customhire1-12-22706</v>
          </cell>
          <cell r="F142">
            <v>0</v>
          </cell>
        </row>
        <row r="143">
          <cell r="E143" t="str">
            <v>customhire1-13-22706</v>
          </cell>
          <cell r="F143">
            <v>0</v>
          </cell>
        </row>
        <row r="144">
          <cell r="E144" t="str">
            <v>customhire2-1-22706</v>
          </cell>
          <cell r="F144">
            <v>2</v>
          </cell>
        </row>
        <row r="145">
          <cell r="E145" t="str">
            <v>customhire2-2-22706</v>
          </cell>
          <cell r="F145">
            <v>0</v>
          </cell>
        </row>
        <row r="146">
          <cell r="E146" t="str">
            <v>customhire2-3-22706</v>
          </cell>
          <cell r="F146">
            <v>0</v>
          </cell>
        </row>
        <row r="147">
          <cell r="E147" t="str">
            <v>customhire2-4-22706</v>
          </cell>
          <cell r="F147">
            <v>0</v>
          </cell>
        </row>
        <row r="148">
          <cell r="E148" t="str">
            <v>customhire2-5-22706</v>
          </cell>
          <cell r="F148">
            <v>0</v>
          </cell>
        </row>
        <row r="149">
          <cell r="E149" t="str">
            <v>customhire2-6-22706</v>
          </cell>
          <cell r="F149">
            <v>0</v>
          </cell>
        </row>
        <row r="150">
          <cell r="E150" t="str">
            <v>customhire2-7-22706</v>
          </cell>
          <cell r="F150">
            <v>0</v>
          </cell>
        </row>
        <row r="151">
          <cell r="E151" t="str">
            <v>customhire2-8-22706</v>
          </cell>
          <cell r="F151">
            <v>0</v>
          </cell>
        </row>
        <row r="152">
          <cell r="E152" t="str">
            <v>size-1-3806</v>
          </cell>
          <cell r="F152" t="str">
            <v>15 ft</v>
          </cell>
        </row>
        <row r="153">
          <cell r="E153" t="str">
            <v>size-2-3806</v>
          </cell>
          <cell r="F153" t="str">
            <v>16.3 ft</v>
          </cell>
        </row>
        <row r="154">
          <cell r="E154" t="str">
            <v>size-3-3806</v>
          </cell>
          <cell r="F154" t="str">
            <v>6 ft</v>
          </cell>
        </row>
        <row r="155">
          <cell r="E155" t="str">
            <v>size-4-3806</v>
          </cell>
          <cell r="F155" t="str">
            <v>35 ft</v>
          </cell>
        </row>
        <row r="156">
          <cell r="E156" t="str">
            <v>size-5-3806</v>
          </cell>
          <cell r="F156" t="str">
            <v>30 ft</v>
          </cell>
        </row>
        <row r="157">
          <cell r="E157" t="str">
            <v>size-6-3806</v>
          </cell>
          <cell r="F157" t="str">
            <v>30" O.C., 17 ft</v>
          </cell>
        </row>
        <row r="158">
          <cell r="E158" t="str">
            <v>size-7-3806</v>
          </cell>
          <cell r="F158" t="str">
            <v>16 ft</v>
          </cell>
        </row>
        <row r="159">
          <cell r="E159" t="str">
            <v>size-8-3806</v>
          </cell>
          <cell r="F159" t="str">
            <v>17.5 ft</v>
          </cell>
        </row>
        <row r="160">
          <cell r="E160" t="str">
            <v>size-9-3806</v>
          </cell>
          <cell r="F160" t="str">
            <v>22 ft</v>
          </cell>
        </row>
        <row r="161">
          <cell r="E161" t="str">
            <v>size-10-3806</v>
          </cell>
          <cell r="F161" t="str">
            <v>12 ft</v>
          </cell>
        </row>
        <row r="162">
          <cell r="E162" t="str">
            <v>size-11-3806</v>
          </cell>
          <cell r="F162" t="str">
            <v>6 row</v>
          </cell>
        </row>
        <row r="163">
          <cell r="E163" t="str">
            <v>size-12-3806</v>
          </cell>
          <cell r="F163" t="str">
            <v>(16/31 row 30/15")</v>
          </cell>
        </row>
        <row r="164">
          <cell r="E164" t="str">
            <v>size-13-3806</v>
          </cell>
          <cell r="F164" t="str">
            <v>6 row</v>
          </cell>
        </row>
        <row r="165">
          <cell r="E165" t="str">
            <v>size-14-3806</v>
          </cell>
          <cell r="F165" t="str">
            <v>16 ft</v>
          </cell>
        </row>
        <row r="166">
          <cell r="E166" t="str">
            <v>size-15-3806</v>
          </cell>
          <cell r="F166" t="str">
            <v>20 ft</v>
          </cell>
        </row>
        <row r="167">
          <cell r="E167" t="str">
            <v>size-16-3806</v>
          </cell>
          <cell r="F167" t="str">
            <v>6 row</v>
          </cell>
        </row>
        <row r="168">
          <cell r="E168" t="str">
            <v>size-17-3806</v>
          </cell>
          <cell r="F168" t="str">
            <v>6 row</v>
          </cell>
        </row>
        <row r="169">
          <cell r="E169" t="str">
            <v>size-18-3806</v>
          </cell>
          <cell r="F169" t="str">
            <v>30 ft</v>
          </cell>
        </row>
        <row r="170">
          <cell r="E170" t="str">
            <v>size-27-101707</v>
          </cell>
          <cell r="F170" t="str">
            <v>7 ft swath</v>
          </cell>
        </row>
        <row r="171">
          <cell r="E171" t="str">
            <v>size-19-3806</v>
          </cell>
          <cell r="F171" t="str">
            <v>6 ft</v>
          </cell>
        </row>
        <row r="172">
          <cell r="E172" t="str">
            <v>size-28-101707</v>
          </cell>
          <cell r="F172" t="str">
            <v>7 ft swath</v>
          </cell>
        </row>
        <row r="173">
          <cell r="E173" t="str">
            <v>size-25-101707</v>
          </cell>
          <cell r="F173" t="str">
            <v>10 wheel, 20 ft</v>
          </cell>
        </row>
        <row r="174">
          <cell r="E174" t="str">
            <v>size-26-101707</v>
          </cell>
          <cell r="F174" t="str">
            <v>9.5 ft</v>
          </cell>
        </row>
        <row r="175">
          <cell r="E175" t="str">
            <v>size-20-101707</v>
          </cell>
          <cell r="F175" t="str">
            <v>1000 lb</v>
          </cell>
        </row>
        <row r="176">
          <cell r="E176" t="str">
            <v>size-21-3806</v>
          </cell>
          <cell r="F176" t="str">
            <v>30 ft</v>
          </cell>
        </row>
        <row r="177">
          <cell r="E177" t="str">
            <v>size-22-3806</v>
          </cell>
          <cell r="F177" t="str">
            <v>30 ft</v>
          </cell>
        </row>
        <row r="178">
          <cell r="E178" t="str">
            <v>size-23-3806</v>
          </cell>
          <cell r="F178" t="str">
            <v>8 row</v>
          </cell>
        </row>
        <row r="179">
          <cell r="E179" t="str">
            <v>size-24-3806</v>
          </cell>
          <cell r="F179" t="str">
            <v>500 bushel</v>
          </cell>
        </row>
        <row r="180">
          <cell r="E180" t="str">
            <v>power-1-22706</v>
          </cell>
          <cell r="F180">
            <v>0</v>
          </cell>
        </row>
        <row r="181">
          <cell r="E181" t="str">
            <v>power-2-22706</v>
          </cell>
          <cell r="F181">
            <v>0</v>
          </cell>
        </row>
        <row r="182">
          <cell r="E182" t="str">
            <v>power-3-22706</v>
          </cell>
          <cell r="F182">
            <v>0</v>
          </cell>
        </row>
        <row r="183">
          <cell r="E183" t="str">
            <v>power-4-22706</v>
          </cell>
          <cell r="F183">
            <v>0</v>
          </cell>
        </row>
        <row r="184">
          <cell r="E184" t="str">
            <v>power-5-22706</v>
          </cell>
          <cell r="F184">
            <v>0</v>
          </cell>
        </row>
        <row r="185">
          <cell r="E185" t="str">
            <v>power-6-22706</v>
          </cell>
          <cell r="F185">
            <v>0</v>
          </cell>
        </row>
        <row r="186">
          <cell r="E186" t="str">
            <v>power-7-22706</v>
          </cell>
          <cell r="F186">
            <v>0</v>
          </cell>
        </row>
        <row r="187">
          <cell r="E187" t="str">
            <v>power-8-22706</v>
          </cell>
          <cell r="F187">
            <v>0</v>
          </cell>
        </row>
        <row r="188">
          <cell r="E188" t="str">
            <v>power-9-22706</v>
          </cell>
          <cell r="F188">
            <v>0</v>
          </cell>
        </row>
        <row r="189">
          <cell r="E189" t="str">
            <v>power-10-22706</v>
          </cell>
          <cell r="F189">
            <v>0</v>
          </cell>
        </row>
        <row r="190">
          <cell r="E190" t="str">
            <v>power-11-22706</v>
          </cell>
          <cell r="F190">
            <v>0</v>
          </cell>
        </row>
        <row r="191">
          <cell r="E191" t="str">
            <v>power-12-22706</v>
          </cell>
          <cell r="F191">
            <v>0</v>
          </cell>
        </row>
        <row r="192">
          <cell r="E192" t="str">
            <v>power-13-22706</v>
          </cell>
          <cell r="F192">
            <v>0</v>
          </cell>
        </row>
        <row r="193">
          <cell r="E193" t="str">
            <v>power-14-22706</v>
          </cell>
          <cell r="F193">
            <v>0</v>
          </cell>
        </row>
        <row r="194">
          <cell r="E194" t="str">
            <v>power-15-22706</v>
          </cell>
          <cell r="F194" t="str">
            <v>200 MFWD</v>
          </cell>
        </row>
        <row r="195">
          <cell r="E195" t="str">
            <v>power-16-22706</v>
          </cell>
          <cell r="F195">
            <v>0</v>
          </cell>
        </row>
        <row r="196">
          <cell r="E196" t="str">
            <v>power-17-22706</v>
          </cell>
          <cell r="F196">
            <v>0</v>
          </cell>
        </row>
        <row r="197">
          <cell r="E197" t="str">
            <v>power-18-22706</v>
          </cell>
          <cell r="F197">
            <v>0</v>
          </cell>
        </row>
        <row r="198">
          <cell r="E198" t="str">
            <v>power-19-22706</v>
          </cell>
          <cell r="F198">
            <v>0</v>
          </cell>
        </row>
        <row r="199">
          <cell r="E199" t="str">
            <v>power-20-22706</v>
          </cell>
          <cell r="F199" t="str">
            <v>130 MFWD</v>
          </cell>
        </row>
        <row r="200">
          <cell r="E200" t="str">
            <v>power-21-22706</v>
          </cell>
          <cell r="F200">
            <v>0</v>
          </cell>
        </row>
        <row r="201">
          <cell r="E201" t="str">
            <v>power-22-22706</v>
          </cell>
          <cell r="F201">
            <v>0</v>
          </cell>
        </row>
        <row r="202">
          <cell r="E202" t="str">
            <v>power-23-22706</v>
          </cell>
          <cell r="F202">
            <v>0</v>
          </cell>
        </row>
        <row r="203">
          <cell r="E203" t="str">
            <v>power-24-22706</v>
          </cell>
          <cell r="F203">
            <v>0</v>
          </cell>
        </row>
        <row r="204">
          <cell r="E204" t="str">
            <v>power-25-22706</v>
          </cell>
          <cell r="F204">
            <v>0</v>
          </cell>
        </row>
        <row r="205">
          <cell r="E205" t="str">
            <v>power-26-22706</v>
          </cell>
          <cell r="F205">
            <v>0</v>
          </cell>
        </row>
        <row r="206">
          <cell r="E206" t="str">
            <v>power-27-22706</v>
          </cell>
          <cell r="F206">
            <v>0</v>
          </cell>
        </row>
        <row r="207">
          <cell r="E207" t="str">
            <v>power-28-22706</v>
          </cell>
          <cell r="F207">
            <v>0</v>
          </cell>
        </row>
        <row r="208">
          <cell r="E208" t="str">
            <v>power-29-22706</v>
          </cell>
          <cell r="F208">
            <v>0</v>
          </cell>
        </row>
        <row r="209">
          <cell r="E209" t="str">
            <v>power-30-22706</v>
          </cell>
          <cell r="F209">
            <v>0</v>
          </cell>
        </row>
        <row r="210">
          <cell r="E210" t="str">
            <v>power-31-22706</v>
          </cell>
          <cell r="F210">
            <v>0</v>
          </cell>
        </row>
        <row r="211">
          <cell r="E211" t="str">
            <v>power-32-22706</v>
          </cell>
          <cell r="F211">
            <v>0</v>
          </cell>
        </row>
        <row r="212">
          <cell r="E212" t="str">
            <v>power-33-22706</v>
          </cell>
          <cell r="F212">
            <v>0</v>
          </cell>
        </row>
        <row r="213">
          <cell r="E213" t="str">
            <v>power-34-22706</v>
          </cell>
          <cell r="F213">
            <v>0</v>
          </cell>
        </row>
        <row r="214">
          <cell r="E214" t="str">
            <v>power-35-22706</v>
          </cell>
          <cell r="F214">
            <v>0</v>
          </cell>
        </row>
        <row r="215">
          <cell r="E215" t="str">
            <v>power-36-22706</v>
          </cell>
          <cell r="F215">
            <v>0</v>
          </cell>
        </row>
        <row r="216">
          <cell r="E216" t="str">
            <v>power-37-22706</v>
          </cell>
          <cell r="F216" t="str">
            <v>200 MFWD</v>
          </cell>
        </row>
        <row r="217">
          <cell r="E217" t="str">
            <v>power-38-22706</v>
          </cell>
          <cell r="F217" t="str">
            <v>130 MFWD</v>
          </cell>
        </row>
        <row r="218">
          <cell r="E218" t="str">
            <v>passes-1-22706</v>
          </cell>
          <cell r="F218">
            <v>0</v>
          </cell>
        </row>
        <row r="219">
          <cell r="E219" t="str">
            <v>passes-2-22706</v>
          </cell>
          <cell r="F219">
            <v>0</v>
          </cell>
        </row>
        <row r="220">
          <cell r="E220" t="str">
            <v>passes-3-22706</v>
          </cell>
          <cell r="F220">
            <v>0</v>
          </cell>
        </row>
        <row r="221">
          <cell r="E221" t="str">
            <v>passes-4-22706</v>
          </cell>
          <cell r="F221">
            <v>0</v>
          </cell>
        </row>
        <row r="222">
          <cell r="E222" t="str">
            <v>passes-5-22706</v>
          </cell>
          <cell r="F222">
            <v>0</v>
          </cell>
        </row>
        <row r="223">
          <cell r="E223" t="str">
            <v>passes-6-22706</v>
          </cell>
          <cell r="F223">
            <v>0</v>
          </cell>
        </row>
        <row r="224">
          <cell r="E224" t="str">
            <v>passes-7-22706</v>
          </cell>
          <cell r="F224">
            <v>0</v>
          </cell>
        </row>
        <row r="225">
          <cell r="E225" t="str">
            <v>passes-8-22706</v>
          </cell>
          <cell r="F225">
            <v>0</v>
          </cell>
        </row>
        <row r="226">
          <cell r="E226" t="str">
            <v>passes-9-22706</v>
          </cell>
          <cell r="F226">
            <v>0</v>
          </cell>
        </row>
        <row r="227">
          <cell r="E227" t="str">
            <v>passes-10-22706</v>
          </cell>
          <cell r="F227">
            <v>0</v>
          </cell>
        </row>
        <row r="228">
          <cell r="E228" t="str">
            <v>passes-11-22706</v>
          </cell>
          <cell r="F228">
            <v>0</v>
          </cell>
        </row>
        <row r="229">
          <cell r="E229" t="str">
            <v>passes-12-22706</v>
          </cell>
          <cell r="F229">
            <v>0</v>
          </cell>
        </row>
        <row r="230">
          <cell r="E230" t="str">
            <v>passes-13-22706</v>
          </cell>
          <cell r="F230">
            <v>0</v>
          </cell>
        </row>
        <row r="231">
          <cell r="E231" t="str">
            <v>passes-14-22706</v>
          </cell>
          <cell r="F231">
            <v>0</v>
          </cell>
        </row>
        <row r="232">
          <cell r="E232" t="str">
            <v>passes-15-22706</v>
          </cell>
          <cell r="F232">
            <v>1</v>
          </cell>
        </row>
        <row r="233">
          <cell r="E233" t="str">
            <v>passes-16-22706</v>
          </cell>
          <cell r="F233">
            <v>0</v>
          </cell>
        </row>
        <row r="234">
          <cell r="E234" t="str">
            <v>passes-17-22706</v>
          </cell>
          <cell r="F234">
            <v>0</v>
          </cell>
        </row>
        <row r="235">
          <cell r="E235" t="str">
            <v>passes-18-22706</v>
          </cell>
          <cell r="F235">
            <v>0</v>
          </cell>
        </row>
        <row r="236">
          <cell r="E236" t="str">
            <v>passes-19-22706</v>
          </cell>
          <cell r="F236">
            <v>0</v>
          </cell>
        </row>
        <row r="237">
          <cell r="E237" t="str">
            <v>passes-20-22706</v>
          </cell>
          <cell r="F237">
            <v>1</v>
          </cell>
        </row>
        <row r="238">
          <cell r="E238" t="str">
            <v>passes-21-22706</v>
          </cell>
          <cell r="F238">
            <v>0</v>
          </cell>
        </row>
        <row r="239">
          <cell r="E239" t="str">
            <v>passes-22-22706</v>
          </cell>
          <cell r="F239">
            <v>0</v>
          </cell>
        </row>
        <row r="240">
          <cell r="E240" t="str">
            <v>passes-23-22706</v>
          </cell>
          <cell r="F240">
            <v>0</v>
          </cell>
        </row>
        <row r="241">
          <cell r="E241" t="str">
            <v>passes-24-22706</v>
          </cell>
          <cell r="F241">
            <v>0</v>
          </cell>
        </row>
        <row r="242">
          <cell r="E242" t="str">
            <v>passes-25-22706</v>
          </cell>
          <cell r="F242">
            <v>0</v>
          </cell>
        </row>
        <row r="243">
          <cell r="E243" t="str">
            <v>passes-26-22706</v>
          </cell>
          <cell r="F243">
            <v>0</v>
          </cell>
        </row>
        <row r="244">
          <cell r="E244" t="str">
            <v>passes-27-22706</v>
          </cell>
          <cell r="F244">
            <v>0</v>
          </cell>
        </row>
        <row r="245">
          <cell r="E245" t="str">
            <v>passes-28-22706</v>
          </cell>
          <cell r="F245">
            <v>0</v>
          </cell>
        </row>
        <row r="246">
          <cell r="E246" t="str">
            <v>passes-29-22706</v>
          </cell>
          <cell r="F246">
            <v>0</v>
          </cell>
        </row>
        <row r="247">
          <cell r="E247" t="str">
            <v>passes-30-22706</v>
          </cell>
          <cell r="F247">
            <v>0</v>
          </cell>
        </row>
        <row r="248">
          <cell r="E248" t="str">
            <v>passes-31-22706</v>
          </cell>
          <cell r="F248">
            <v>0</v>
          </cell>
        </row>
        <row r="249">
          <cell r="E249" t="str">
            <v>passes-32-22706</v>
          </cell>
          <cell r="F249">
            <v>0</v>
          </cell>
        </row>
        <row r="250">
          <cell r="E250" t="str">
            <v>passes-33-22706</v>
          </cell>
          <cell r="F250">
            <v>0</v>
          </cell>
        </row>
        <row r="251">
          <cell r="E251" t="str">
            <v>passes-34-22706</v>
          </cell>
          <cell r="F251">
            <v>0</v>
          </cell>
        </row>
        <row r="252">
          <cell r="E252" t="str">
            <v>passes-35-22706</v>
          </cell>
          <cell r="F252">
            <v>0</v>
          </cell>
        </row>
        <row r="253">
          <cell r="E253" t="str">
            <v>passes-36-22706</v>
          </cell>
          <cell r="F253">
            <v>0</v>
          </cell>
        </row>
        <row r="254">
          <cell r="E254" t="str">
            <v>passes-37-22706</v>
          </cell>
          <cell r="F254">
            <v>0</v>
          </cell>
        </row>
        <row r="255">
          <cell r="E255" t="str">
            <v>passes-38-22706</v>
          </cell>
          <cell r="F255">
            <v>1</v>
          </cell>
        </row>
        <row r="256">
          <cell r="E256" t="str">
            <v>passes-39-22706</v>
          </cell>
          <cell r="F256">
            <v>0</v>
          </cell>
        </row>
        <row r="257">
          <cell r="E257" t="str">
            <v>passes-40-22706</v>
          </cell>
          <cell r="F257">
            <v>0</v>
          </cell>
        </row>
        <row r="258">
          <cell r="E258" t="str">
            <v>rent-1-82906</v>
          </cell>
          <cell r="F258">
            <v>0</v>
          </cell>
        </row>
        <row r="259">
          <cell r="E259" t="str">
            <v>rent-2-82906</v>
          </cell>
          <cell r="F259">
            <v>0</v>
          </cell>
        </row>
        <row r="260">
          <cell r="E260" t="str">
            <v>rent-3-82906</v>
          </cell>
          <cell r="F260">
            <v>0</v>
          </cell>
        </row>
        <row r="261">
          <cell r="E261" t="str">
            <v>rent-4-82906</v>
          </cell>
          <cell r="F261">
            <v>0</v>
          </cell>
        </row>
        <row r="262">
          <cell r="E262" t="str">
            <v>rent-5-82906</v>
          </cell>
          <cell r="F262">
            <v>0</v>
          </cell>
        </row>
        <row r="263">
          <cell r="E263" t="str">
            <v>rent-6-82906</v>
          </cell>
          <cell r="F263">
            <v>0</v>
          </cell>
        </row>
        <row r="264">
          <cell r="E264" t="str">
            <v>rent-7-82906</v>
          </cell>
          <cell r="F264">
            <v>0</v>
          </cell>
        </row>
        <row r="265">
          <cell r="E265" t="str">
            <v>rent-8-82906</v>
          </cell>
          <cell r="F265">
            <v>0</v>
          </cell>
        </row>
        <row r="266">
          <cell r="E266" t="str">
            <v>rent-9-82906</v>
          </cell>
          <cell r="F266">
            <v>0</v>
          </cell>
        </row>
        <row r="267">
          <cell r="E267" t="str">
            <v>rent-10-82906</v>
          </cell>
          <cell r="F267">
            <v>0</v>
          </cell>
        </row>
        <row r="268">
          <cell r="E268" t="str">
            <v>rent-11-82906</v>
          </cell>
          <cell r="F268">
            <v>0</v>
          </cell>
        </row>
        <row r="269">
          <cell r="E269" t="str">
            <v>rent-12-82906</v>
          </cell>
          <cell r="F269">
            <v>0</v>
          </cell>
        </row>
        <row r="270">
          <cell r="E270" t="str">
            <v>rent-13-82906</v>
          </cell>
          <cell r="F270">
            <v>0</v>
          </cell>
        </row>
        <row r="271">
          <cell r="E271" t="str">
            <v>rent-14-82906</v>
          </cell>
          <cell r="F271">
            <v>0</v>
          </cell>
        </row>
        <row r="272">
          <cell r="E272" t="str">
            <v>rent-15-82906</v>
          </cell>
          <cell r="F272">
            <v>0</v>
          </cell>
        </row>
        <row r="273">
          <cell r="E273" t="str">
            <v>rent-16-82906</v>
          </cell>
          <cell r="F273">
            <v>0</v>
          </cell>
        </row>
        <row r="274">
          <cell r="E274" t="str">
            <v>rent-17-82906</v>
          </cell>
          <cell r="F274">
            <v>0</v>
          </cell>
        </row>
        <row r="275">
          <cell r="E275" t="str">
            <v>rent-18-82906</v>
          </cell>
          <cell r="F275">
            <v>0</v>
          </cell>
        </row>
        <row r="276">
          <cell r="E276" t="str">
            <v>rent-19-82906</v>
          </cell>
          <cell r="F276">
            <v>0</v>
          </cell>
        </row>
        <row r="277">
          <cell r="E277" t="str">
            <v>rent-20-82906</v>
          </cell>
          <cell r="F277">
            <v>0</v>
          </cell>
        </row>
        <row r="278">
          <cell r="E278" t="str">
            <v>rent-21-82906</v>
          </cell>
          <cell r="F278">
            <v>0</v>
          </cell>
        </row>
        <row r="279">
          <cell r="E279" t="str">
            <v>rent-22-82906</v>
          </cell>
          <cell r="F279">
            <v>0</v>
          </cell>
        </row>
        <row r="280">
          <cell r="E280" t="str">
            <v>rent-23-82906</v>
          </cell>
          <cell r="F280">
            <v>0</v>
          </cell>
        </row>
        <row r="281">
          <cell r="E281" t="str">
            <v>rent-24-82906</v>
          </cell>
          <cell r="F281">
            <v>0</v>
          </cell>
        </row>
        <row r="282">
          <cell r="E282" t="str">
            <v>rent-25-82906</v>
          </cell>
          <cell r="F282">
            <v>0</v>
          </cell>
        </row>
        <row r="283">
          <cell r="E283" t="str">
            <v>rent-26-82906</v>
          </cell>
          <cell r="F283">
            <v>0</v>
          </cell>
        </row>
        <row r="284">
          <cell r="E284" t="str">
            <v>rent-27-82906</v>
          </cell>
          <cell r="F284">
            <v>0</v>
          </cell>
        </row>
        <row r="285">
          <cell r="E285" t="str">
            <v>rent-28-82906</v>
          </cell>
          <cell r="F285">
            <v>0</v>
          </cell>
        </row>
        <row r="286">
          <cell r="E286" t="str">
            <v>rent-29-82906</v>
          </cell>
          <cell r="F286">
            <v>0</v>
          </cell>
        </row>
        <row r="287">
          <cell r="E287" t="str">
            <v>rent-30-82906</v>
          </cell>
          <cell r="F287">
            <v>0</v>
          </cell>
        </row>
        <row r="288">
          <cell r="E288" t="str">
            <v>rent-31-82906</v>
          </cell>
          <cell r="F288">
            <v>0</v>
          </cell>
        </row>
        <row r="289">
          <cell r="E289" t="str">
            <v>rent-32-82906</v>
          </cell>
          <cell r="F289">
            <v>0</v>
          </cell>
        </row>
        <row r="290">
          <cell r="E290" t="str">
            <v>rent-33-82906</v>
          </cell>
          <cell r="F290">
            <v>0</v>
          </cell>
        </row>
        <row r="291">
          <cell r="E291" t="str">
            <v>rent-34-82906</v>
          </cell>
          <cell r="F291">
            <v>0</v>
          </cell>
        </row>
        <row r="292">
          <cell r="E292" t="str">
            <v>rent-35-82906</v>
          </cell>
          <cell r="F292">
            <v>0</v>
          </cell>
        </row>
        <row r="293">
          <cell r="E293" t="str">
            <v>rent-36-82906</v>
          </cell>
          <cell r="F293">
            <v>0</v>
          </cell>
        </row>
        <row r="294">
          <cell r="E294" t="str">
            <v>rent-37-82906</v>
          </cell>
          <cell r="F294">
            <v>0</v>
          </cell>
        </row>
        <row r="295">
          <cell r="E295" t="str">
            <v>rent-38-82906</v>
          </cell>
          <cell r="F295">
            <v>0</v>
          </cell>
        </row>
        <row r="296">
          <cell r="E296" t="str">
            <v>rent-39-82906</v>
          </cell>
          <cell r="F296">
            <v>0</v>
          </cell>
        </row>
        <row r="297">
          <cell r="E297" t="str">
            <v>rent-40-82906</v>
          </cell>
          <cell r="F297">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Budget"/>
      <sheetName val="Equipment"/>
      <sheetName val="Custom Rates"/>
      <sheetName val="Notes"/>
      <sheetName val="Forage Budgets"/>
    </sheetNames>
    <sheetDataSet>
      <sheetData sheetId="0"/>
      <sheetData sheetId="1"/>
      <sheetData sheetId="2"/>
      <sheetData sheetId="3" refreshError="1"/>
      <sheetData sheetId="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2318091-4DE7-48D4-919F-77A0714FD02A}" name="ASABECoefficients" displayName="ASABECoefficients" ref="BE5:BO49" totalsRowShown="0" headerRowDxfId="108" dataDxfId="107">
  <autoFilter ref="BE5:BO49" xr:uid="{C121A10E-9958-40F7-A4B0-D018206F364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sortState xmlns:xlrd2="http://schemas.microsoft.com/office/spreadsheetml/2017/richdata2" ref="BE6:BM48">
    <sortCondition ref="BE207:BE258"/>
  </sortState>
  <tableColumns count="11">
    <tableColumn id="5" xr3:uid="{9666F472-910A-44D3-81C0-1968F925B0F7}" name="ASABE Category" dataDxfId="106"/>
    <tableColumn id="6" xr3:uid="{FFFA8432-C30C-4BBF-9532-B3604D34A1C6}" name="RF1" dataDxfId="105"/>
    <tableColumn id="7" xr3:uid="{09839EA2-FFEC-4243-B4CF-47620586C1FD}" name="RF2" dataDxfId="104"/>
    <tableColumn id="8" xr3:uid="{CDBFF627-7947-4F95-9BE4-ED7A6FBD6747}" name="Life (hr)" dataDxfId="103"/>
    <tableColumn id="9" xr3:uid="{8C6582D0-BB7D-4499-A0A5-8358CBE1F922}" name="RV1" dataDxfId="102"/>
    <tableColumn id="10" xr3:uid="{03D6BF91-ED5B-4E51-8EA9-4414706792E5}" name="RV2" dataDxfId="101"/>
    <tableColumn id="11" xr3:uid="{C5857EF3-2E8B-433F-A80E-FFAA687BD600}" name="RV3" dataDxfId="100"/>
    <tableColumn id="12" xr3:uid="{8B73F807-A14E-4CAC-9533-6B1B1106A92A}" name="RV4" dataDxfId="99"/>
    <tableColumn id="14" xr3:uid="{4A03BB0B-F305-4E21-80D1-EEFB1FE098B6}" name="RV5" dataDxfId="98"/>
    <tableColumn id="1" xr3:uid="{5DA729F1-5A56-4FBD-BDAD-BB1718174FFF}" name="δ" dataDxfId="97"/>
    <tableColumn id="2" xr3:uid="{E8BC196A-1E6B-4594-948A-4916EABAA826}" name="Note" dataDxfId="96"/>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9D0BFC9-C311-4C6D-B597-8E50D429ABC4}" name="Power1" displayName="Power1" ref="AL5:BC23" totalsRowShown="0" headerRowDxfId="95" dataDxfId="94">
  <autoFilter ref="AL5:BC23" xr:uid="{240C76D1-DF28-4C0F-9814-9FD24E01ECF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BD269431-CE4A-4718-87C7-C186A822D33A}" name="HP &amp; descriptive information" dataDxfId="93"/>
    <tableColumn id="2" xr3:uid="{C5639F9F-347F-400A-9B97-907FB342DBCB}" name="HP" dataDxfId="92"/>
    <tableColumn id="3" xr3:uid="{D1E56B26-5DC6-48DE-9AD7-F41CF7F52460}" name="Information" dataDxfId="91"/>
    <tableColumn id="4" xr3:uid="{FC941094-362C-4D99-AEAE-596759E1043D}" name="PriceP" dataDxfId="90" dataCellStyle="Comma"/>
    <tableColumn id="5" xr3:uid="{17BD00EB-467B-4E80-BBBE-60822D46FE71}" name="Discount" dataDxfId="89" dataCellStyle="Percent"/>
    <tableColumn id="6" xr3:uid="{9B5797DD-26C3-4855-9BA2-49730C418627}" name="PriceL" dataDxfId="88">
      <calculatedColumnFormula>AO6/(1-AP6)</calculatedColumnFormula>
    </tableColumn>
    <tableColumn id="7" xr3:uid="{AA57E595-4289-413C-BB3F-B34EE1777858}" name="Life (yr)" dataDxfId="87"/>
    <tableColumn id="8" xr3:uid="{45773B5D-85E2-45F2-9EE0-4C08DD831168}" name="Use (hr/yr)" dataDxfId="86"/>
    <tableColumn id="9" xr3:uid="{2DD058BB-2A8D-415B-8D09-76D50314EEF2}" name="Fuel (gal/hph)" dataDxfId="85"/>
    <tableColumn id="10" xr3:uid="{598BA199-B3AD-4C45-8E62-6184CCA186AA}" name="ASABEtype" dataDxfId="84"/>
    <tableColumn id="11" xr3:uid="{B26F571F-D87B-4BDF-8293-09AFBA97F4B7}" name="Shed (ft^2)" dataDxfId="83"/>
    <tableColumn id="13" xr3:uid="{9399F814-2F15-4F06-89D9-42ECFB17D90E}" name="TradeIn%" dataDxfId="82">
      <calculatedColumnFormula>(VLOOKUP(Power1[[#This Row],[ASABEtype]],ASABECoefficients[],5)-VLOOKUP(Power1[[#This Row],[ASABEtype]],ASABECoefficients[],6)*Power1[[#This Row],[Life (yr)]]^0.5-VLOOKUP(Power1[[#This Row],[ASABEtype]],ASABECoefficients[],7)*Power1[[#This Row],[Use (hr/yr)]]^0.5+VLOOKUP(Power1[[#This Row],[ASABEtype]],ASABECoefficients[],8)*$BR$17)^2+0.25*VLOOKUP(Power1[[#This Row],[ASABEtype]],ASABECoefficients[],9)</calculatedColumnFormula>
    </tableColumn>
    <tableColumn id="14" xr3:uid="{E2E5522A-2264-41D3-AA3A-81071AF0715C}" name="TradeIn$" dataDxfId="81">
      <calculatedColumnFormula>Power1[[#This Row],[TradeIn%]]*Power1[[#This Row],[PriceL]]</calculatedColumnFormula>
    </tableColumn>
    <tableColumn id="15" xr3:uid="{AC88189C-6E67-420F-B481-DAE851406941}" name="Depr ($/hr)" dataDxfId="80">
      <calculatedColumnFormula>(Power1[[#This Row],[PriceP]]-Power1[[#This Row],[TradeIn$]])/Power1[[#This Row],[Life (yr)]]/Power1[[#This Row],[Use (hr/yr)]]</calculatedColumnFormula>
    </tableColumn>
    <tableColumn id="16" xr3:uid="{274E1EB3-0EE7-4B17-B82C-E1E8A71DF569}" name="OH ($/hr)" dataDxfId="79">
      <calculatedColumnFormula>((Power1[[#This Row],[PriceP]]+Power1[[#This Row],[TradeIn$]])*($BR$7+$BR$8+$BR$9)+Power1[[#This Row],[Shed (ft^2)]]*$BR$12)/Power1[[#This Row],[Use (hr/yr)]]</calculatedColumnFormula>
    </tableColumn>
    <tableColumn id="17" xr3:uid="{4D45F251-91E9-4E88-93C2-AD51CC45483A}" name="Rep ($/hr)" dataDxfId="78"/>
    <tableColumn id="18" xr3:uid="{BE874BCA-B7C0-4F60-B45E-C6FC10CC1F75}" name="Fuel (gal/hr)" dataDxfId="77">
      <calculatedColumnFormula>Power1[[#This Row],[Fuel (gal/hph)]]*Power1[[#This Row],[HP]]*(1+$BR$11)</calculatedColumnFormula>
    </tableColumn>
    <tableColumn id="12" xr3:uid="{4F15369C-CC4A-40AD-A09E-B01C79EA300E}" name="Ownership costs ($/hr)" dataDxfId="76">
      <calculatedColumnFormula>SUM(AY6:AZ6)</calculatedColumnFormula>
    </tableColumn>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F2EC2A0-F2E9-43DC-A00C-CF63474C9E2C}" name="Prices" displayName="Prices" ref="BQ5:BR18" totalsRowShown="0" headerRowDxfId="75" dataDxfId="74">
  <autoFilter ref="BQ5:BR18" xr:uid="{CF1319A9-3CEE-4A31-AA49-C632A8017268}">
    <filterColumn colId="0" hiddenButton="1"/>
    <filterColumn colId="1" hiddenButton="1"/>
  </autoFilter>
  <tableColumns count="2">
    <tableColumn id="1" xr3:uid="{07AA7B2F-5F10-46D0-8784-055B38F0F3E0}" name="Item" dataDxfId="73"/>
    <tableColumn id="2" xr3:uid="{060EF873-680A-4B4C-874B-364335352C1C}" name="Value" dataDxfId="72"/>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31E34CD-51D0-4D46-9241-75423194E0D8}" name="Implements7" displayName="Implements7" ref="K5:AJ68" totalsRowShown="0" headerRowDxfId="71" dataDxfId="70">
  <autoFilter ref="K5:AJ68" xr:uid="{84A14725-BB4A-4A0D-B4C3-0DBAD43EDE2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sortState xmlns:xlrd2="http://schemas.microsoft.com/office/spreadsheetml/2017/richdata2" ref="K6:AJ68">
    <sortCondition ref="AJ6:AJ68"/>
    <sortCondition ref="K6:K68"/>
  </sortState>
  <tableColumns count="26">
    <tableColumn id="2" xr3:uid="{6C17EEA8-0D93-4B5F-A44E-9BA8AAC9B71E}" name="Selection" dataDxfId="69">
      <calculatedColumnFormula>Implements7[[#This Row],[Implement type]]&amp;", "&amp;Implements7[[#This Row],[Width]]&amp;" "&amp;Implements7[[#This Row],[Width Unit]]</calculatedColumnFormula>
    </tableColumn>
    <tableColumn id="3" xr3:uid="{0BD2096D-7FFC-4C0A-A109-FE148FAB9188}" name="Implement type" dataDxfId="68"/>
    <tableColumn id="4" xr3:uid="{89953684-8DE5-47C5-B4F2-AEB90DD52E30}" name="Width" dataDxfId="67"/>
    <tableColumn id="5" xr3:uid="{E3DF4055-343C-400E-8614-6A656F3ADFC3}" name="Width Unit" dataDxfId="66"/>
    <tableColumn id="6" xr3:uid="{1536D4C6-DCB9-444B-82B4-B9053A2A26AB}" name="Size" dataDxfId="65"/>
    <tableColumn id="7" xr3:uid="{C3D9B361-2729-4D03-85A6-7D276922190A}" name="Size unit" dataDxfId="64"/>
    <tableColumn id="9" xr3:uid="{8A125BEE-70C2-4652-8A56-B6559DD070BF}" name="PriceP" dataDxfId="63" dataCellStyle="Comma"/>
    <tableColumn id="10" xr3:uid="{9AE7FABC-B571-4D1E-A618-63B564F522E6}" name="Discount" dataDxfId="62" dataCellStyle="Percent"/>
    <tableColumn id="11" xr3:uid="{04AB8C2D-1361-4FC9-A1A3-608C2FF2A880}" name="PriceL" dataDxfId="61">
      <calculatedColumnFormula>Q6/(1-R6)</calculatedColumnFormula>
    </tableColumn>
    <tableColumn id="12" xr3:uid="{0BF2A9B9-E8E4-4B23-8F0A-B90F9845F14A}" name="Life (yr)" dataDxfId="60"/>
    <tableColumn id="13" xr3:uid="{CB177D39-57F9-48EB-9E20-5620E698B1F2}" name="Use (hr/yr)" dataDxfId="59"/>
    <tableColumn id="14" xr3:uid="{A53F0F8D-0F8C-43D6-A97A-14E5CD2C560A}" name="Use (ac/yr)" dataDxfId="58" dataCellStyle="Comma">
      <calculatedColumnFormula>IF(AND(X6&lt;&gt;0,Y6&lt;&gt;0),U6*(M6*X6*Y6)/8.25,U6*M6)</calculatedColumnFormula>
    </tableColumn>
    <tableColumn id="15" xr3:uid="{C8D36B50-6BFF-4B00-B4E8-CF56DC993AB6}" name="ASABEtype" dataDxfId="57"/>
    <tableColumn id="16" xr3:uid="{59BC6FC5-FF45-470D-89DD-C5FF1B703241}" name="Speed" dataDxfId="56"/>
    <tableColumn id="17" xr3:uid="{66D47DA3-29D9-49B0-868B-264914113381}" name="Efficiency" dataDxfId="55" dataCellStyle="Percent"/>
    <tableColumn id="19" xr3:uid="{10D74F79-7E1D-4DFA-9F8C-935673721F27}" name="LaborUse" dataDxfId="54" dataCellStyle="Percent"/>
    <tableColumn id="22" xr3:uid="{916897AA-2B33-4B70-8108-3E802AB4837C}" name="Shed (ft^2)" dataDxfId="53"/>
    <tableColumn id="23" xr3:uid="{066D7BE1-A996-4372-B5AE-B8EAF0F0AEC6}" name="TradeIn%" dataDxfId="52" dataCellStyle="Comma">
      <calculatedColumnFormula>(VLOOKUP(Implements7[[#This Row],[ASABEtype]],ASABECoefficients[],5)-VLOOKUP(Implements7[[#This Row],[ASABEtype]],ASABECoefficients[],6)*Implements7[[#This Row],[Life (yr)]]^0.5-VLOOKUP(Implements7[[#This Row],[ASABEtype]],ASABECoefficients[],7)*Implements7[[#This Row],[Use (hr/yr)]]^0.5+VLOOKUP(Implements7[[#This Row],[ASABEtype]],ASABECoefficients[],8)*$BR$17)^2+0.25*VLOOKUP(Implements7[[#This Row],[ASABEtype]],ASABECoefficients[],9)</calculatedColumnFormula>
    </tableColumn>
    <tableColumn id="24" xr3:uid="{6CD2E69E-6DCF-4DF4-90A3-47258DD907B7}" name="TradeIn$" dataDxfId="51" dataCellStyle="Comma">
      <calculatedColumnFormula>Implements7[[#This Row],[TradeIn%]]*Implements7[[#This Row],[PriceL]]</calculatedColumnFormula>
    </tableColumn>
    <tableColumn id="25" xr3:uid="{5E4D0E2B-20A7-42DD-9403-828B277EAAEF}" name="Depr ($/ac)" dataDxfId="50" dataCellStyle="Comma">
      <calculatedColumnFormula>(Implements7[[#This Row],[PriceP]]-Implements7[[#This Row],[TradeIn$]])/Implements7[[#This Row],[Life (yr)]]/Implements7[[#This Row],[Use (ac/yr)]]</calculatedColumnFormula>
    </tableColumn>
    <tableColumn id="26" xr3:uid="{E14689B8-B450-4403-B4C8-1AAAB5BCF9DD}" name="OH (interest, insurance, taxes, housing) ($/ac)" dataDxfId="49" dataCellStyle="Comma">
      <calculatedColumnFormula>((Implements7[[#This Row],[PriceP]]+Implements7[[#This Row],[TradeIn$]])/2*($BR$7+$BR$8+$BR$9)+Implements7[[#This Row],[Shed (ft^2)]]*$BR$12)/Implements7[[#This Row],[Use (ac/yr)]]</calculatedColumnFormula>
    </tableColumn>
    <tableColumn id="27" xr3:uid="{1B19A690-82FA-4B7B-89E7-C7770F16EA9F}" name="Rep ($/ac)" dataDxfId="48" dataCellStyle="Currency">
      <calculatedColumnFormula>Implements7[[#This Row],[PriceL]]*(VLOOKUP(Implements7[[#This Row],[ASABEtype]],ASABECoefficients[],2)*(Implements7[[#This Row],[Life (yr)]]*Implements7[[#This Row],[Use (hr/yr)]]/1000)^VLOOKUP(Implements7[[#This Row],[ASABEtype]],ASABECoefficients[],3))/Implements7[[#This Row],[Life (yr)]]/Implements7[[#This Row],[Use (ac/yr)]]</calculatedColumnFormula>
    </tableColumn>
    <tableColumn id="8" xr3:uid="{EE855BD1-C660-4D70-ABA7-57EF9E40B62F}" name="hr/ac" dataDxfId="47">
      <calculatedColumnFormula>$BR$18/(Implements7[[#This Row],[Width]]*Implements7[[#This Row],[Speed]]*Implements7[[#This Row],[Efficiency]])</calculatedColumnFormula>
    </tableColumn>
    <tableColumn id="1" xr3:uid="{196CC838-3614-4101-8B14-2E1533820967}" name="Ownership costs($/ac)" dataDxfId="46">
      <calculatedColumnFormula>SUM(Implements7[[#This Row],[Depr ($/ac)]:[OH (interest, insurance, taxes, housing) ($/ac)]])</calculatedColumnFormula>
    </tableColumn>
    <tableColumn id="18" xr3:uid="{E150B4D2-81F0-4CAE-A338-F914CC31DCC5}" name="Order in Lazarus" dataDxfId="45"/>
    <tableColumn id="21" xr3:uid="{55736F58-A13B-4C7A-AC58-BED07B7545FA}" name="Operation type" dataDxfId="44"/>
  </tableColumns>
  <tableStyleInfo name="TableStyleLight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9B9BFB3-9F8F-46DF-BBE4-12628DA36BDC}" name="Table4" displayName="Table4" ref="I3:K53" totalsRowShown="0" headerRowDxfId="43" dataDxfId="42">
  <autoFilter ref="I3:K53" xr:uid="{00000000-0009-0000-0100-000004000000}"/>
  <tableColumns count="3">
    <tableColumn id="1" xr3:uid="{67340488-1095-48F6-BAC2-0353A6C76D63}" name="Activity" dataDxfId="41"/>
    <tableColumn id="2" xr3:uid="{A119EB06-A15C-40B5-BF7B-1E9CBE51048A}" name="Avg. cost/unit" dataDxfId="40"/>
    <tableColumn id="3" xr3:uid="{7519E974-2559-426B-B0CC-8D8C8B85F48D}" name="Unit" dataDxfId="39"/>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ustom 2">
      <a:majorFont>
        <a:latin typeface="Segoe UI Black"/>
        <a:ea typeface=""/>
        <a:cs typeface=""/>
      </a:majorFont>
      <a:minorFont>
        <a:latin typeface="Segoe U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0.bin"/><Relationship Id="rId5" Type="http://schemas.openxmlformats.org/officeDocument/2006/relationships/table" Target="../tables/table4.xml"/><Relationship Id="rId4" Type="http://schemas.openxmlformats.org/officeDocument/2006/relationships/table" Target="../tables/table3.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7721E-FC66-4515-94B2-0CCD049481B5}">
  <dimension ref="A1:M26"/>
  <sheetViews>
    <sheetView workbookViewId="0">
      <selection activeCell="E12" sqref="E12"/>
    </sheetView>
  </sheetViews>
  <sheetFormatPr defaultColWidth="0" defaultRowHeight="16.5" zeroHeight="1"/>
  <cols>
    <col min="1" max="1" width="2.875" style="31" customWidth="1"/>
    <col min="2" max="2" width="17.875" style="31" customWidth="1"/>
    <col min="3" max="3" width="74.625" style="31" customWidth="1"/>
    <col min="4" max="5" width="9" style="31" customWidth="1"/>
    <col min="6" max="8" width="9" style="31" hidden="1" customWidth="1"/>
    <col min="9" max="13" width="0" style="31" hidden="1" customWidth="1"/>
    <col min="14" max="16384" width="9" style="31" hidden="1"/>
  </cols>
  <sheetData>
    <row r="1" spans="1:13" ht="17.25" thickBot="1">
      <c r="A1" s="148"/>
      <c r="B1" s="148"/>
      <c r="C1" s="148"/>
      <c r="D1" s="148"/>
      <c r="E1" s="148"/>
      <c r="F1" s="148"/>
      <c r="G1" s="148"/>
      <c r="H1" s="148"/>
      <c r="I1" s="148"/>
      <c r="J1" s="148"/>
      <c r="K1" s="148"/>
      <c r="L1" s="148"/>
      <c r="M1" s="148"/>
    </row>
    <row r="2" spans="1:13" ht="21" thickBot="1">
      <c r="A2" s="148"/>
      <c r="B2" s="286" t="s">
        <v>0</v>
      </c>
      <c r="C2" s="287"/>
      <c r="D2" s="288"/>
      <c r="E2" s="148"/>
      <c r="F2" s="148"/>
      <c r="G2" s="148"/>
      <c r="H2" s="148"/>
    </row>
    <row r="3" spans="1:13">
      <c r="A3" s="148"/>
      <c r="B3" s="289" t="s">
        <v>447</v>
      </c>
      <c r="C3" s="289"/>
      <c r="D3" s="289"/>
      <c r="E3" s="148"/>
      <c r="F3" s="148"/>
      <c r="G3" s="148"/>
      <c r="H3" s="148"/>
    </row>
    <row r="4" spans="1:13">
      <c r="A4" s="148"/>
      <c r="B4" s="290"/>
      <c r="C4" s="290"/>
      <c r="D4" s="290"/>
      <c r="E4" s="148"/>
      <c r="F4" s="148"/>
      <c r="G4" s="148"/>
      <c r="H4" s="148"/>
    </row>
    <row r="5" spans="1:13">
      <c r="A5" s="148"/>
      <c r="B5" s="148"/>
      <c r="C5" s="149" t="s">
        <v>1</v>
      </c>
      <c r="D5" s="148"/>
      <c r="E5" s="148"/>
      <c r="F5" s="148"/>
      <c r="G5" s="148"/>
      <c r="H5" s="148"/>
    </row>
    <row r="6" spans="1:13">
      <c r="A6" s="148"/>
      <c r="B6" s="148"/>
      <c r="C6" s="150" t="s">
        <v>789</v>
      </c>
      <c r="D6" s="148"/>
      <c r="E6" s="148"/>
      <c r="F6" s="148"/>
      <c r="G6" s="148"/>
      <c r="H6" s="148"/>
    </row>
    <row r="7" spans="1:13">
      <c r="A7" s="148"/>
      <c r="B7" s="148"/>
      <c r="C7" s="150" t="s">
        <v>2</v>
      </c>
      <c r="D7" s="148"/>
      <c r="E7" s="148"/>
      <c r="F7" s="148"/>
      <c r="G7" s="148"/>
      <c r="H7" s="148"/>
    </row>
    <row r="8" spans="1:13">
      <c r="A8" s="148"/>
      <c r="B8" s="148"/>
      <c r="C8" s="148"/>
      <c r="D8" s="148"/>
      <c r="E8" s="148"/>
      <c r="F8" s="148"/>
      <c r="G8" s="148"/>
      <c r="H8" s="148"/>
    </row>
    <row r="9" spans="1:13" ht="17.25">
      <c r="A9" s="148"/>
      <c r="B9" s="291" t="s">
        <v>448</v>
      </c>
      <c r="C9" s="291"/>
      <c r="D9" s="291"/>
      <c r="E9" s="148"/>
      <c r="F9" s="148"/>
      <c r="G9" s="148"/>
      <c r="H9" s="148"/>
    </row>
    <row r="10" spans="1:13" ht="66.75" customHeight="1">
      <c r="A10" s="148"/>
      <c r="B10" s="294" t="s">
        <v>3</v>
      </c>
      <c r="C10" s="294"/>
      <c r="D10" s="294"/>
      <c r="E10" s="148"/>
      <c r="F10" s="148"/>
      <c r="G10" s="148"/>
      <c r="H10" s="148"/>
    </row>
    <row r="11" spans="1:13">
      <c r="A11" s="148"/>
      <c r="B11" s="148"/>
      <c r="C11" s="148"/>
      <c r="D11" s="148"/>
      <c r="E11" s="148"/>
      <c r="F11" s="148"/>
      <c r="G11" s="148"/>
      <c r="H11" s="148"/>
    </row>
    <row r="12" spans="1:13" ht="15" customHeight="1">
      <c r="A12" s="148"/>
      <c r="B12" s="295" t="s">
        <v>4</v>
      </c>
      <c r="C12" s="296"/>
      <c r="D12" s="297"/>
      <c r="E12" s="148"/>
      <c r="F12" s="148"/>
      <c r="G12" s="148"/>
      <c r="H12" s="148"/>
    </row>
    <row r="13" spans="1:13" ht="17.25" thickBot="1">
      <c r="A13" s="148"/>
      <c r="B13" s="148"/>
      <c r="C13" s="148"/>
      <c r="D13" s="148"/>
      <c r="E13" s="148"/>
      <c r="F13" s="148"/>
      <c r="G13" s="148"/>
      <c r="H13" s="148"/>
    </row>
    <row r="14" spans="1:13" ht="21" thickBot="1">
      <c r="A14" s="148"/>
      <c r="B14" s="292"/>
      <c r="C14" s="293"/>
      <c r="D14" s="293"/>
      <c r="E14" s="148"/>
      <c r="F14" s="148"/>
      <c r="G14" s="148"/>
      <c r="H14" s="148"/>
    </row>
    <row r="15" spans="1:13">
      <c r="A15" s="148"/>
      <c r="B15" s="148"/>
      <c r="C15" s="148"/>
      <c r="D15" s="148"/>
      <c r="E15" s="148"/>
      <c r="F15" s="148"/>
      <c r="G15" s="148"/>
      <c r="H15" s="148"/>
    </row>
    <row r="16" spans="1:13" hidden="1">
      <c r="A16" s="148"/>
      <c r="B16" s="148"/>
      <c r="C16" s="148"/>
      <c r="D16" s="148"/>
      <c r="E16" s="148"/>
      <c r="F16" s="148"/>
      <c r="G16" s="148"/>
      <c r="H16" s="148"/>
    </row>
    <row r="17" spans="1:8" hidden="1">
      <c r="A17" s="148"/>
      <c r="B17" s="148"/>
      <c r="C17" s="148"/>
      <c r="D17" s="148"/>
      <c r="E17" s="148"/>
      <c r="F17" s="148"/>
      <c r="G17" s="148"/>
      <c r="H17" s="148"/>
    </row>
    <row r="18" spans="1:8" hidden="1">
      <c r="A18" s="148"/>
      <c r="B18" s="148"/>
      <c r="C18" s="148"/>
      <c r="D18" s="148"/>
      <c r="E18" s="148"/>
      <c r="F18" s="148"/>
      <c r="G18" s="148"/>
      <c r="H18" s="148"/>
    </row>
    <row r="19" spans="1:8" hidden="1">
      <c r="A19" s="148"/>
      <c r="B19" s="148"/>
      <c r="C19" s="148"/>
      <c r="D19" s="148"/>
      <c r="E19" s="148"/>
      <c r="F19" s="148"/>
      <c r="G19" s="148"/>
      <c r="H19" s="148"/>
    </row>
    <row r="20" spans="1:8" hidden="1">
      <c r="A20" s="148"/>
      <c r="B20" s="148"/>
      <c r="C20" s="148"/>
      <c r="D20" s="148"/>
      <c r="E20" s="148"/>
      <c r="F20" s="148"/>
      <c r="G20" s="148"/>
      <c r="H20" s="148"/>
    </row>
    <row r="21" spans="1:8" hidden="1">
      <c r="A21" s="148"/>
      <c r="B21" s="148"/>
      <c r="C21" s="148"/>
      <c r="D21" s="148"/>
      <c r="E21" s="148"/>
      <c r="F21" s="148"/>
      <c r="G21" s="148"/>
      <c r="H21" s="148"/>
    </row>
    <row r="22" spans="1:8" hidden="1">
      <c r="A22" s="148"/>
      <c r="B22" s="148"/>
      <c r="C22" s="148"/>
      <c r="D22" s="148"/>
      <c r="E22" s="148"/>
      <c r="F22" s="148"/>
      <c r="G22" s="148"/>
      <c r="H22" s="148"/>
    </row>
    <row r="23" spans="1:8" hidden="1">
      <c r="A23" s="148"/>
      <c r="B23" s="148"/>
      <c r="C23" s="148"/>
      <c r="D23" s="148"/>
      <c r="E23" s="148"/>
      <c r="F23" s="148"/>
      <c r="G23" s="148"/>
      <c r="H23" s="148"/>
    </row>
    <row r="24" spans="1:8" hidden="1">
      <c r="A24" s="148"/>
    </row>
    <row r="25" spans="1:8" hidden="1">
      <c r="A25" s="148"/>
    </row>
    <row r="26" spans="1:8" hidden="1">
      <c r="A26" s="148"/>
    </row>
  </sheetData>
  <sheetProtection sheet="1" objects="1" scenarios="1" selectLockedCells="1" selectUnlockedCells="1"/>
  <mergeCells count="7">
    <mergeCell ref="B2:D2"/>
    <mergeCell ref="B3:D3"/>
    <mergeCell ref="B4:D4"/>
    <mergeCell ref="B9:D9"/>
    <mergeCell ref="B14:D14"/>
    <mergeCell ref="B10:D10"/>
    <mergeCell ref="B12:D12"/>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CCD0A-5280-46ED-A15F-CC45C972E160}">
  <dimension ref="A1:CW162"/>
  <sheetViews>
    <sheetView topLeftCell="A14" workbookViewId="0">
      <selection activeCell="F86" sqref="F86:G86"/>
    </sheetView>
  </sheetViews>
  <sheetFormatPr defaultColWidth="0" defaultRowHeight="14.25" zeroHeight="1"/>
  <cols>
    <col min="1" max="1" width="2.875" style="59" customWidth="1"/>
    <col min="2" max="2" width="25.375" style="59" bestFit="1" customWidth="1"/>
    <col min="3" max="3" width="11.875" style="59" bestFit="1" customWidth="1"/>
    <col min="4" max="4" width="13" style="59" bestFit="1" customWidth="1"/>
    <col min="5" max="5" width="12.5" style="59" bestFit="1" customWidth="1"/>
    <col min="6" max="7" width="10" style="59" bestFit="1" customWidth="1"/>
    <col min="8" max="8" width="11.75" style="59" bestFit="1" customWidth="1"/>
    <col min="9" max="9" width="10.75" style="59" bestFit="1" customWidth="1"/>
    <col min="10" max="10" width="2.625" style="59" customWidth="1"/>
    <col min="11" max="11" width="45.75" style="59" hidden="1" customWidth="1"/>
    <col min="12" max="12" width="41.25" style="59" hidden="1" customWidth="1"/>
    <col min="13" max="22" width="10.625" style="59" hidden="1" customWidth="1"/>
    <col min="23" max="23" width="26.625" style="59" hidden="1" customWidth="1"/>
    <col min="24" max="30" width="10.625" style="59" hidden="1" customWidth="1"/>
    <col min="31" max="31" width="19" style="59" hidden="1" customWidth="1"/>
    <col min="32" max="34" width="10.625" style="59" hidden="1" customWidth="1"/>
    <col min="35" max="35" width="8" style="59" hidden="1" customWidth="1"/>
    <col min="36" max="36" width="15.125" style="59" hidden="1" customWidth="1"/>
    <col min="37" max="37" width="2.625" style="59" hidden="1" customWidth="1"/>
    <col min="38" max="38" width="27.375" style="59" hidden="1" customWidth="1"/>
    <col min="39" max="39" width="28.375" style="59" hidden="1" customWidth="1"/>
    <col min="40" max="40" width="11.25" style="59" hidden="1" customWidth="1"/>
    <col min="41" max="41" width="9" style="59" hidden="1" customWidth="1"/>
    <col min="42" max="42" width="9.125" style="59" hidden="1" customWidth="1"/>
    <col min="43" max="43" width="7.875" style="59" hidden="1" customWidth="1"/>
    <col min="44" max="45" width="9" style="59" hidden="1" customWidth="1"/>
    <col min="46" max="46" width="30.5" style="59" hidden="1" customWidth="1"/>
    <col min="47" max="47" width="10.625" style="59" hidden="1" customWidth="1"/>
    <col min="48" max="48" width="10.5" style="59" hidden="1" customWidth="1"/>
    <col min="49" max="49" width="11.5" style="59" hidden="1" customWidth="1"/>
    <col min="50" max="50" width="11.625" style="59" hidden="1" customWidth="1"/>
    <col min="51" max="51" width="11" style="59" hidden="1" customWidth="1"/>
    <col min="52" max="52" width="13.25" style="59" hidden="1" customWidth="1"/>
    <col min="53" max="53" width="11.875" style="59" hidden="1" customWidth="1"/>
    <col min="54" max="54" width="12" style="59" hidden="1" customWidth="1"/>
    <col min="55" max="55" width="9.75" style="59" hidden="1" customWidth="1"/>
    <col min="56" max="56" width="2.625" style="59" hidden="1" customWidth="1"/>
    <col min="57" max="57" width="19" style="59" hidden="1" customWidth="1"/>
    <col min="58" max="58" width="6.75" style="59" hidden="1" customWidth="1"/>
    <col min="59" max="60" width="9" style="59" hidden="1" customWidth="1"/>
    <col min="61" max="61" width="9.75" style="59" hidden="1" customWidth="1"/>
    <col min="62" max="66" width="9" style="59" hidden="1" customWidth="1"/>
    <col min="67" max="67" width="6.5" style="59" hidden="1" customWidth="1"/>
    <col min="68" max="68" width="2.625" style="59" hidden="1" customWidth="1"/>
    <col min="69" max="69" width="53.25" style="59" hidden="1" customWidth="1"/>
    <col min="70" max="70" width="9.5" style="59" hidden="1" customWidth="1"/>
    <col min="71" max="71" width="2.625" style="59" hidden="1" customWidth="1"/>
    <col min="72" max="72" width="9" style="59" hidden="1" customWidth="1"/>
    <col min="73" max="73" width="61.75" style="59" hidden="1" customWidth="1"/>
    <col min="74" max="74" width="9.25" style="59" hidden="1" customWidth="1"/>
    <col min="75" max="79" width="9" style="59" hidden="1" customWidth="1"/>
    <col min="80" max="80" width="8.75" style="59" hidden="1" customWidth="1"/>
    <col min="81" max="81" width="12.375" style="59" hidden="1" customWidth="1"/>
    <col min="82" max="82" width="8.75" style="59" hidden="1" customWidth="1"/>
    <col min="83" max="83" width="10.5" style="59" hidden="1" customWidth="1"/>
    <col min="84" max="84" width="10" style="59" hidden="1" customWidth="1"/>
    <col min="85" max="89" width="8.75" style="59" hidden="1" customWidth="1"/>
    <col min="90" max="90" width="28.5" style="59" hidden="1" customWidth="1"/>
    <col min="91" max="92" width="10.5" style="59" hidden="1" customWidth="1"/>
    <col min="93" max="94" width="8.75" style="59" hidden="1" customWidth="1"/>
    <col min="95" max="95" width="10.5" style="59" hidden="1" customWidth="1"/>
    <col min="96" max="96" width="8.75" style="59" hidden="1" customWidth="1"/>
    <col min="97" max="97" width="9.375" style="59" hidden="1" customWidth="1"/>
    <col min="98" max="98" width="14.375" style="59" hidden="1" customWidth="1"/>
    <col min="99" max="99" width="8.75" style="59" hidden="1" customWidth="1"/>
    <col min="100" max="100" width="11" style="59" hidden="1" customWidth="1"/>
    <col min="101" max="101" width="11.875" style="59" hidden="1" customWidth="1"/>
    <col min="102" max="16384" width="9" style="59" hidden="1"/>
  </cols>
  <sheetData>
    <row r="1" spans="1:70">
      <c r="A1" s="277"/>
      <c r="K1" s="59" t="s">
        <v>483</v>
      </c>
    </row>
    <row r="2" spans="1:70">
      <c r="K2" s="60" t="s">
        <v>484</v>
      </c>
      <c r="L2" s="60"/>
    </row>
    <row r="3" spans="1:70">
      <c r="K3" s="59">
        <v>1</v>
      </c>
      <c r="L3" s="59">
        <v>2</v>
      </c>
      <c r="M3" s="59">
        <v>3</v>
      </c>
      <c r="N3" s="59">
        <v>4</v>
      </c>
      <c r="O3" s="59">
        <v>5</v>
      </c>
      <c r="P3" s="59">
        <v>6</v>
      </c>
      <c r="Q3" s="59">
        <v>7</v>
      </c>
      <c r="R3" s="59">
        <v>8</v>
      </c>
      <c r="S3" s="59">
        <v>9</v>
      </c>
      <c r="T3" s="59">
        <v>10</v>
      </c>
      <c r="U3" s="59">
        <v>11</v>
      </c>
      <c r="V3" s="59">
        <v>12</v>
      </c>
      <c r="W3" s="59">
        <v>13</v>
      </c>
      <c r="X3" s="59">
        <v>14</v>
      </c>
      <c r="Y3" s="59">
        <v>15</v>
      </c>
      <c r="Z3" s="59">
        <v>16</v>
      </c>
      <c r="AA3" s="59">
        <v>17</v>
      </c>
      <c r="AB3" s="59">
        <v>18</v>
      </c>
      <c r="AC3" s="59">
        <v>19</v>
      </c>
      <c r="AD3" s="59">
        <v>20</v>
      </c>
      <c r="AE3" s="59">
        <v>21</v>
      </c>
      <c r="AF3" s="59">
        <v>22</v>
      </c>
      <c r="AG3" s="59">
        <v>23</v>
      </c>
      <c r="AH3" s="59">
        <v>24</v>
      </c>
      <c r="AI3" s="59">
        <v>25</v>
      </c>
      <c r="AL3" s="59">
        <v>1</v>
      </c>
      <c r="AM3" s="59">
        <v>2</v>
      </c>
      <c r="AN3" s="59">
        <v>3</v>
      </c>
      <c r="AO3" s="59">
        <v>4</v>
      </c>
      <c r="AP3" s="59">
        <v>5</v>
      </c>
      <c r="AQ3" s="59">
        <v>6</v>
      </c>
      <c r="AR3" s="59">
        <v>7</v>
      </c>
      <c r="AS3" s="59">
        <v>8</v>
      </c>
      <c r="AT3" s="59">
        <v>9</v>
      </c>
      <c r="AU3" s="59">
        <v>10</v>
      </c>
      <c r="AV3" s="59">
        <v>11</v>
      </c>
      <c r="AW3" s="59">
        <v>12</v>
      </c>
      <c r="AX3" s="59">
        <v>13</v>
      </c>
      <c r="AY3" s="59">
        <v>14</v>
      </c>
      <c r="AZ3" s="59">
        <v>15</v>
      </c>
      <c r="BA3" s="59">
        <v>16</v>
      </c>
      <c r="BB3" s="59">
        <v>17</v>
      </c>
      <c r="BC3" s="59">
        <v>18</v>
      </c>
      <c r="BE3" s="59" t="s">
        <v>485</v>
      </c>
      <c r="BQ3" s="59" t="s">
        <v>486</v>
      </c>
    </row>
    <row r="4" spans="1:70">
      <c r="B4" s="317" t="s">
        <v>697</v>
      </c>
      <c r="C4" s="317"/>
      <c r="D4" s="317"/>
      <c r="E4" s="317"/>
      <c r="F4" s="317"/>
      <c r="G4" s="317"/>
      <c r="H4" s="317"/>
      <c r="I4" s="317"/>
      <c r="J4" s="128"/>
      <c r="K4" s="62" t="s">
        <v>487</v>
      </c>
      <c r="AL4" s="63" t="s">
        <v>696</v>
      </c>
      <c r="AN4" s="64"/>
      <c r="AO4" s="65"/>
      <c r="AP4" s="64"/>
      <c r="AQ4" s="66"/>
      <c r="AR4" s="64"/>
      <c r="AS4" s="67"/>
      <c r="AT4" s="68"/>
      <c r="AU4" s="67"/>
      <c r="AV4" s="67"/>
      <c r="BE4" s="62" t="s">
        <v>488</v>
      </c>
      <c r="BQ4" s="62" t="s">
        <v>488</v>
      </c>
    </row>
    <row r="5" spans="1:70" ht="28.5" customHeight="1">
      <c r="B5" s="318" t="s">
        <v>674</v>
      </c>
      <c r="C5" s="320" t="s">
        <v>675</v>
      </c>
      <c r="D5" s="320" t="s">
        <v>676</v>
      </c>
      <c r="E5" s="320" t="s">
        <v>677</v>
      </c>
      <c r="F5" s="278" t="s">
        <v>422</v>
      </c>
      <c r="G5" s="278" t="s">
        <v>423</v>
      </c>
      <c r="H5" s="278"/>
      <c r="I5" s="321" t="s">
        <v>678</v>
      </c>
      <c r="J5" s="129"/>
      <c r="K5" s="69" t="s">
        <v>489</v>
      </c>
      <c r="L5" s="69" t="s">
        <v>490</v>
      </c>
      <c r="M5" s="69" t="s">
        <v>491</v>
      </c>
      <c r="N5" s="69" t="s">
        <v>492</v>
      </c>
      <c r="O5" s="69" t="s">
        <v>493</v>
      </c>
      <c r="P5" s="69" t="s">
        <v>494</v>
      </c>
      <c r="Q5" s="69" t="s">
        <v>495</v>
      </c>
      <c r="R5" s="69" t="s">
        <v>496</v>
      </c>
      <c r="S5" s="69" t="s">
        <v>497</v>
      </c>
      <c r="T5" s="69" t="s">
        <v>498</v>
      </c>
      <c r="U5" s="69" t="s">
        <v>499</v>
      </c>
      <c r="V5" s="69" t="s">
        <v>500</v>
      </c>
      <c r="W5" s="69" t="s">
        <v>501</v>
      </c>
      <c r="X5" s="69" t="s">
        <v>502</v>
      </c>
      <c r="Y5" s="69" t="s">
        <v>503</v>
      </c>
      <c r="Z5" s="69" t="s">
        <v>504</v>
      </c>
      <c r="AA5" s="69" t="s">
        <v>505</v>
      </c>
      <c r="AB5" s="69" t="s">
        <v>506</v>
      </c>
      <c r="AC5" s="69" t="s">
        <v>507</v>
      </c>
      <c r="AD5" s="69" t="s">
        <v>508</v>
      </c>
      <c r="AE5" s="69" t="s">
        <v>813</v>
      </c>
      <c r="AF5" s="69" t="s">
        <v>509</v>
      </c>
      <c r="AG5" s="69" t="s">
        <v>510</v>
      </c>
      <c r="AH5" s="69" t="s">
        <v>511</v>
      </c>
      <c r="AI5" s="69" t="s">
        <v>512</v>
      </c>
      <c r="AJ5" s="135" t="s">
        <v>729</v>
      </c>
      <c r="AK5" s="66"/>
      <c r="AL5" s="70" t="s">
        <v>513</v>
      </c>
      <c r="AM5" s="71" t="s">
        <v>514</v>
      </c>
      <c r="AN5" s="71" t="s">
        <v>515</v>
      </c>
      <c r="AO5" s="72" t="s">
        <v>495</v>
      </c>
      <c r="AP5" s="72" t="s">
        <v>496</v>
      </c>
      <c r="AQ5" s="72" t="s">
        <v>497</v>
      </c>
      <c r="AR5" s="72" t="s">
        <v>498</v>
      </c>
      <c r="AS5" s="72" t="s">
        <v>499</v>
      </c>
      <c r="AT5" s="73" t="s">
        <v>516</v>
      </c>
      <c r="AU5" s="70" t="s">
        <v>501</v>
      </c>
      <c r="AV5" s="72" t="s">
        <v>505</v>
      </c>
      <c r="AW5" s="72" t="s">
        <v>506</v>
      </c>
      <c r="AX5" s="72" t="s">
        <v>507</v>
      </c>
      <c r="AY5" s="72" t="s">
        <v>517</v>
      </c>
      <c r="AZ5" s="72" t="s">
        <v>518</v>
      </c>
      <c r="BA5" s="72" t="s">
        <v>519</v>
      </c>
      <c r="BB5" s="72" t="s">
        <v>520</v>
      </c>
      <c r="BC5" s="72" t="s">
        <v>521</v>
      </c>
      <c r="BE5" s="70" t="s">
        <v>522</v>
      </c>
      <c r="BF5" s="72" t="s">
        <v>523</v>
      </c>
      <c r="BG5" s="72" t="s">
        <v>524</v>
      </c>
      <c r="BH5" s="72" t="s">
        <v>525</v>
      </c>
      <c r="BI5" s="72" t="s">
        <v>526</v>
      </c>
      <c r="BJ5" s="72" t="s">
        <v>527</v>
      </c>
      <c r="BK5" s="72" t="s">
        <v>528</v>
      </c>
      <c r="BL5" s="72" t="s">
        <v>529</v>
      </c>
      <c r="BM5" s="72" t="s">
        <v>530</v>
      </c>
      <c r="BN5" s="72" t="s">
        <v>531</v>
      </c>
      <c r="BO5" s="72" t="s">
        <v>532</v>
      </c>
      <c r="BQ5" s="70" t="s">
        <v>533</v>
      </c>
      <c r="BR5" s="72" t="s">
        <v>534</v>
      </c>
    </row>
    <row r="6" spans="1:70">
      <c r="B6" s="319"/>
      <c r="C6" s="317"/>
      <c r="D6" s="317"/>
      <c r="E6" s="317"/>
      <c r="F6" s="248" t="s">
        <v>427</v>
      </c>
      <c r="G6" s="248" t="s">
        <v>427</v>
      </c>
      <c r="H6" s="248" t="s">
        <v>698</v>
      </c>
      <c r="I6" s="322"/>
      <c r="J6" s="129"/>
      <c r="K6" s="59" t="str">
        <f>Implements7[[#This Row],[Implement type]]&amp;", "&amp;Implements7[[#This Row],[Width]]&amp;" "&amp;Implements7[[#This Row],[Width Unit]]</f>
        <v>Front end loader, tractor mounted, 50 Ft</v>
      </c>
      <c r="L6" s="105" t="s">
        <v>686</v>
      </c>
      <c r="M6" s="76">
        <v>50</v>
      </c>
      <c r="N6" s="75" t="s">
        <v>536</v>
      </c>
      <c r="O6" s="76"/>
      <c r="P6" s="75"/>
      <c r="Q6" s="77">
        <v>19400</v>
      </c>
      <c r="R6" s="78">
        <v>0.15</v>
      </c>
      <c r="S6" s="79">
        <f t="shared" ref="S6:S37" si="0">Q6/(1-R6)</f>
        <v>22823.529411764706</v>
      </c>
      <c r="T6" s="76">
        <v>12</v>
      </c>
      <c r="U6" s="76">
        <v>50</v>
      </c>
      <c r="V6" s="80">
        <f t="shared" ref="V6:V37" si="1">IF(AND(X6&lt;&gt;0,Y6&lt;&gt;0),U6*(M6*X6*Y6)/8.25,U6*M6)</f>
        <v>1939.3939393939395</v>
      </c>
      <c r="W6" s="76" t="s">
        <v>621</v>
      </c>
      <c r="X6" s="76">
        <v>8</v>
      </c>
      <c r="Y6" s="78">
        <v>0.8</v>
      </c>
      <c r="Z6" s="78">
        <v>1.02</v>
      </c>
      <c r="AA6" s="76">
        <v>30</v>
      </c>
      <c r="AB6" s="99">
        <f>(VLOOKUP(Implements7[[#This Row],[ASABEtype]],ASABECoefficients[],5)-VLOOKUP(Implements7[[#This Row],[ASABEtype]],ASABECoefficients[],6)*Implements7[[#This Row],[Life (yr)]]^0.5-VLOOKUP(Implements7[[#This Row],[ASABEtype]],ASABECoefficients[],7)*Implements7[[#This Row],[Use (hr/yr)]]^0.5+VLOOKUP(Implements7[[#This Row],[ASABEtype]],ASABECoefficients[],8)*$BR$17)^2+0.25*VLOOKUP(Implements7[[#This Row],[ASABEtype]],ASABECoefficients[],9)</f>
        <v>0.29407083603500145</v>
      </c>
      <c r="AC6" s="100">
        <f>Implements7[[#This Row],[TradeIn%]]*Implements7[[#This Row],[PriceL]]</f>
        <v>6711.7343753870919</v>
      </c>
      <c r="AD6" s="101">
        <f>(Implements7[[#This Row],[PriceP]]-Implements7[[#This Row],[TradeIn$]])/Implements7[[#This Row],[Life (yr)]]/Implements7[[#This Row],[Use (ac/yr)]]</f>
        <v>0.54519891355758587</v>
      </c>
      <c r="AE6" s="126">
        <f>((Implements7[[#This Row],[PriceP]]+Implements7[[#This Row],[TradeIn$]])/2*($BR$7+$BR$8+$BR$9)+Implements7[[#This Row],[Shed (ft^2)]]*$BR$12)/Implements7[[#This Row],[Use (ac/yr)]]</f>
        <v>0.44247025727101957</v>
      </c>
      <c r="AF6" s="102">
        <f>Implements7[[#This Row],[PriceL]]*(VLOOKUP(Implements7[[#This Row],[ASABEtype]],ASABECoefficients[],2)*(Implements7[[#This Row],[Life (yr)]]*Implements7[[#This Row],[Use (hr/yr)]]/1000)^VLOOKUP(Implements7[[#This Row],[ASABEtype]],ASABECoefficients[],3))/Implements7[[#This Row],[Life (yr)]]/Implements7[[#This Row],[Use (ac/yr)]]</f>
        <v>8.1544785745267467E-2</v>
      </c>
      <c r="AG6" s="61">
        <f>$BR$18/(Implements7[[#This Row],[Width]]*Implements7[[#This Row],[Speed]]*Implements7[[#This Row],[Efficiency]])</f>
        <v>2.5781249999999999E-2</v>
      </c>
      <c r="AH6" s="86">
        <f>SUM(Implements7[[#This Row],[Depr ($/ac)]:[OH (interest, insurance, taxes, housing) ($/ac)]])</f>
        <v>0.98766917082860539</v>
      </c>
      <c r="AI6" s="86"/>
      <c r="AJ6" s="59" t="s">
        <v>735</v>
      </c>
      <c r="AK6" s="86"/>
      <c r="AL6" s="88" t="str">
        <f t="shared" ref="AL6:AL23" si="2">CONCATENATE(AM6&amp;" "&amp;AN6)</f>
        <v>40 HP TWD</v>
      </c>
      <c r="AM6" s="89">
        <v>40</v>
      </c>
      <c r="AN6" s="76" t="s">
        <v>723</v>
      </c>
      <c r="AO6" s="77">
        <v>33000</v>
      </c>
      <c r="AP6" s="78">
        <v>0</v>
      </c>
      <c r="AQ6" s="134">
        <f t="shared" ref="AQ6:AQ23" si="3">AO6/(1-AP6)</f>
        <v>33000</v>
      </c>
      <c r="AR6" s="76">
        <v>12</v>
      </c>
      <c r="AS6" s="76">
        <v>400</v>
      </c>
      <c r="AT6" s="76">
        <v>4.3999999999999997E-2</v>
      </c>
      <c r="AU6" s="76" t="s">
        <v>537</v>
      </c>
      <c r="AV6" s="76">
        <v>92</v>
      </c>
      <c r="AW6" s="90">
        <f>(VLOOKUP(Power1[[#This Row],[ASABEtype]],ASABECoefficients[],5)-VLOOKUP(Power1[[#This Row],[ASABEtype]],ASABECoefficients[],6)*Power1[[#This Row],[Life (yr)]]^0.5-VLOOKUP(Power1[[#This Row],[ASABEtype]],ASABECoefficients[],7)*Power1[[#This Row],[Use (hr/yr)]]^0.5+VLOOKUP(Power1[[#This Row],[ASABEtype]],ASABECoefficients[],8)*$BR$17)^2+0.25*VLOOKUP(Power1[[#This Row],[ASABEtype]],ASABECoefficients[],9)</f>
        <v>0.50000827367939404</v>
      </c>
      <c r="AX6" s="91">
        <f>Power1[[#This Row],[TradeIn%]]*Power1[[#This Row],[PriceL]]</f>
        <v>16500.273031420002</v>
      </c>
      <c r="AY6" s="92">
        <f>(Power1[[#This Row],[PriceP]]-Power1[[#This Row],[TradeIn$]])/Power1[[#This Row],[Life (yr)]]/Power1[[#This Row],[Use (hr/yr)]]</f>
        <v>3.4374431184541665</v>
      </c>
      <c r="AZ6" s="93">
        <f>((Power1[[#This Row],[PriceP]]+Power1[[#This Row],[TradeIn$]])/2*($BR$7+$BR$8+$BR$9)+Power1[[#This Row],[Shed (ft^2)]]*$BR$12)/Power1[[#This Row],[Use (hr/yr)]]</f>
        <v>4.15200453339693</v>
      </c>
      <c r="BA6" s="94">
        <f>Power1[[#This Row],[PriceL]]*(VLOOKUP(Power1[[#This Row],[ASABEtype]],ASABECoefficients[],2)*(Power1[[#This Row],[Life (yr)]]*Power1[[#This Row],[Use (hr/yr)]]/1000)^VLOOKUP(Power1[[#This Row],[ASABEtype]],ASABECoefficients[],3))/Power1[[#This Row],[Life (yr)]]/Power1[[#This Row],[Use (hr/yr)]]</f>
        <v>1.1088</v>
      </c>
      <c r="BB6" s="95">
        <f>Power1[[#This Row],[Fuel (gal/hph)]]*Power1[[#This Row],[HP]]*(1+$BR$11)</f>
        <v>1.9359999999999999</v>
      </c>
      <c r="BC6" s="93">
        <f t="shared" ref="BC6:BC23" si="4">SUM(AY6:AZ6)</f>
        <v>7.5894476518510965</v>
      </c>
      <c r="BE6" s="67" t="s">
        <v>538</v>
      </c>
      <c r="BF6" s="97">
        <v>0.2</v>
      </c>
      <c r="BG6" s="97">
        <v>1.6</v>
      </c>
      <c r="BH6" s="97">
        <v>2000</v>
      </c>
      <c r="BI6" s="97">
        <v>0.85540000000000005</v>
      </c>
      <c r="BJ6" s="97">
        <v>0.1177</v>
      </c>
      <c r="BK6" s="97">
        <v>0</v>
      </c>
      <c r="BL6" s="97">
        <v>2.8999999999999998E-3</v>
      </c>
      <c r="BM6" s="64">
        <f t="shared" ref="BM6:BM47" si="5">BN6^2</f>
        <v>1.6230760000000004E-2</v>
      </c>
      <c r="BN6" s="97">
        <v>0.12740000000000001</v>
      </c>
      <c r="BO6" s="98"/>
      <c r="BQ6" s="67" t="s">
        <v>539</v>
      </c>
      <c r="BR6" s="141">
        <f>Inputs!D28</f>
        <v>17.309999999999999</v>
      </c>
    </row>
    <row r="7" spans="1:70" ht="16.5">
      <c r="B7" s="31"/>
      <c r="C7" s="31"/>
      <c r="D7" s="123" t="s">
        <v>744</v>
      </c>
      <c r="E7" s="123" t="s">
        <v>745</v>
      </c>
      <c r="F7" s="123" t="s">
        <v>746</v>
      </c>
      <c r="G7" s="123" t="s">
        <v>746</v>
      </c>
      <c r="H7" s="123" t="s">
        <v>748</v>
      </c>
      <c r="I7" s="123" t="s">
        <v>747</v>
      </c>
      <c r="J7" s="123"/>
      <c r="K7" s="59" t="str">
        <f>Implements7[[#This Row],[Implement type]]&amp;", "&amp;Implements7[[#This Row],[Width]]&amp;" "&amp;Implements7[[#This Row],[Width Unit]]</f>
        <v>Anhydrous applicator, 21 Ft Folding</v>
      </c>
      <c r="L7" s="105" t="s">
        <v>717</v>
      </c>
      <c r="M7" s="76">
        <v>21</v>
      </c>
      <c r="N7" s="75" t="str">
        <f t="shared" ref="N7:N14" si="6">IF(M7&gt;15,"Ft Folding","Ft")</f>
        <v>Ft Folding</v>
      </c>
      <c r="O7" s="76"/>
      <c r="P7" s="105"/>
      <c r="Q7" s="77">
        <v>41000</v>
      </c>
      <c r="R7" s="78">
        <v>0.15</v>
      </c>
      <c r="S7" s="79">
        <f t="shared" si="0"/>
        <v>48235.294117647063</v>
      </c>
      <c r="T7" s="76">
        <v>12</v>
      </c>
      <c r="U7" s="76">
        <v>100</v>
      </c>
      <c r="V7" s="80">
        <f t="shared" si="1"/>
        <v>979.99999999999989</v>
      </c>
      <c r="W7" s="76" t="s">
        <v>562</v>
      </c>
      <c r="X7" s="76">
        <v>5.5</v>
      </c>
      <c r="Y7" s="78">
        <v>0.7</v>
      </c>
      <c r="Z7" s="78">
        <v>1.1499999999999999</v>
      </c>
      <c r="AA7" s="76">
        <v>180</v>
      </c>
      <c r="AB7" s="99">
        <f>(VLOOKUP(Implements7[[#This Row],[ASABEtype]],ASABECoefficients[],5)-VLOOKUP(Implements7[[#This Row],[ASABEtype]],ASABECoefficients[],6)*Implements7[[#This Row],[Life (yr)]]^0.5-VLOOKUP(Implements7[[#This Row],[ASABEtype]],ASABECoefficients[],7)*Implements7[[#This Row],[Use (hr/yr)]]^0.5+VLOOKUP(Implements7[[#This Row],[ASABEtype]],ASABECoefficients[],8)*$BR$17)^2+0.25*VLOOKUP(Implements7[[#This Row],[ASABEtype]],ASABECoefficients[],9)</f>
        <v>0.31452774341473483</v>
      </c>
      <c r="AC7" s="100">
        <f>Implements7[[#This Row],[TradeIn%]]*Implements7[[#This Row],[PriceL]]</f>
        <v>15171.338211769564</v>
      </c>
      <c r="AD7" s="101">
        <f>(Implements7[[#This Row],[PriceP]]-Implements7[[#This Row],[TradeIn$]])/Implements7[[#This Row],[Life (yr)]]/Implements7[[#This Row],[Use (ac/yr)]]</f>
        <v>2.1963147779107515</v>
      </c>
      <c r="AE7" s="126">
        <f>((Implements7[[#This Row],[PriceP]]+Implements7[[#This Row],[TradeIn$]])/2*($BR$7+$BR$8+$BR$9)+Implements7[[#This Row],[Shed (ft^2)]]*$BR$12)/Implements7[[#This Row],[Use (ac/yr)]]</f>
        <v>1.9978565322381607</v>
      </c>
      <c r="AF7" s="102">
        <f>Implements7[[#This Row],[PriceL]]*(VLOOKUP(Implements7[[#This Row],[ASABEtype]],ASABECoefficients[],2)*(Implements7[[#This Row],[Life (yr)]]*Implements7[[#This Row],[Use (hr/yr)]]/1000)^VLOOKUP(Implements7[[#This Row],[ASABEtype]],ASABECoefficients[],3))/Implements7[[#This Row],[Life (yr)]]/Implements7[[#This Row],[Use (ac/yr)]]</f>
        <v>3.2751694819671116</v>
      </c>
      <c r="AG7" s="61">
        <f>$BR$18/(Implements7[[#This Row],[Width]]*Implements7[[#This Row],[Speed]]*Implements7[[#This Row],[Efficiency]])</f>
        <v>0.10204081632653061</v>
      </c>
      <c r="AH7" s="86">
        <f>SUM(Implements7[[#This Row],[Depr ($/ac)]:[OH (interest, insurance, taxes, housing) ($/ac)]])</f>
        <v>4.1941713101489118</v>
      </c>
      <c r="AI7" s="86"/>
      <c r="AJ7" s="59" t="s">
        <v>738</v>
      </c>
      <c r="AK7" s="86"/>
      <c r="AL7" s="88" t="str">
        <f t="shared" si="2"/>
        <v>60 HP TWD</v>
      </c>
      <c r="AM7" s="89">
        <v>60</v>
      </c>
      <c r="AN7" s="76" t="s">
        <v>723</v>
      </c>
      <c r="AO7" s="77">
        <v>37000</v>
      </c>
      <c r="AP7" s="78">
        <v>0</v>
      </c>
      <c r="AQ7" s="134">
        <f t="shared" si="3"/>
        <v>37000</v>
      </c>
      <c r="AR7" s="76">
        <v>12</v>
      </c>
      <c r="AS7" s="76">
        <v>400</v>
      </c>
      <c r="AT7" s="76">
        <v>4.3999999999999997E-2</v>
      </c>
      <c r="AU7" s="76" t="s">
        <v>537</v>
      </c>
      <c r="AV7" s="76">
        <v>104</v>
      </c>
      <c r="AW7" s="90">
        <f>(VLOOKUP(Power1[[#This Row],[ASABEtype]],ASABECoefficients[],5)-VLOOKUP(Power1[[#This Row],[ASABEtype]],ASABECoefficients[],6)*Power1[[#This Row],[Life (yr)]]^0.5-VLOOKUP(Power1[[#This Row],[ASABEtype]],ASABECoefficients[],7)*Power1[[#This Row],[Use (hr/yr)]]^0.5+VLOOKUP(Power1[[#This Row],[ASABEtype]],ASABECoefficients[],8)*$BR$17)^2+0.25*VLOOKUP(Power1[[#This Row],[ASABEtype]],ASABECoefficients[],9)</f>
        <v>0.50000827367939404</v>
      </c>
      <c r="AX7" s="91">
        <f>Power1[[#This Row],[TradeIn%]]*Power1[[#This Row],[PriceL]]</f>
        <v>18500.306126137581</v>
      </c>
      <c r="AY7" s="93">
        <f>(Power1[[#This Row],[PriceP]]-Power1[[#This Row],[TradeIn$]])/Power1[[#This Row],[Life (yr)]]/Power1[[#This Row],[Use (hr/yr)]]</f>
        <v>3.8541028903880039</v>
      </c>
      <c r="AZ7" s="93">
        <f>((Power1[[#This Row],[PriceP]]+Power1[[#This Row],[TradeIn$]])/2*($BR$7+$BR$8+$BR$9)+Power1[[#This Row],[Shed (ft^2)]]*$BR$12)/Power1[[#This Row],[Use (hr/yr)]]</f>
        <v>4.6573337291850905</v>
      </c>
      <c r="BA7" s="96">
        <f>Power1[[#This Row],[PriceL]]*(VLOOKUP(Power1[[#This Row],[ASABEtype]],ASABECoefficients[],2)*(Power1[[#This Row],[Life (yr)]]*Power1[[#This Row],[Use (hr/yr)]]/1000)^VLOOKUP(Power1[[#This Row],[ASABEtype]],ASABECoefficients[],3))/Power1[[#This Row],[Life (yr)]]/Power1[[#This Row],[Use (hr/yr)]]</f>
        <v>1.2432000000000001</v>
      </c>
      <c r="BB7" s="95">
        <f>Power1[[#This Row],[Fuel (gal/hph)]]*Power1[[#This Row],[HP]]*(1+$BR$11)</f>
        <v>2.9039999999999999</v>
      </c>
      <c r="BC7" s="93">
        <f t="shared" si="4"/>
        <v>8.5114366195730948</v>
      </c>
      <c r="BE7" s="67" t="s">
        <v>540</v>
      </c>
      <c r="BF7" s="97">
        <v>0.2</v>
      </c>
      <c r="BG7" s="97">
        <v>1.6</v>
      </c>
      <c r="BH7" s="97">
        <v>2000</v>
      </c>
      <c r="BI7" s="97">
        <v>0.71940000000000004</v>
      </c>
      <c r="BJ7" s="97">
        <v>0.11020000000000001</v>
      </c>
      <c r="BK7" s="97">
        <v>0</v>
      </c>
      <c r="BL7" s="97">
        <v>3.0000000000000001E-3</v>
      </c>
      <c r="BM7" s="64">
        <f t="shared" si="5"/>
        <v>1.4713690000000001E-2</v>
      </c>
      <c r="BN7" s="97">
        <v>0.12130000000000001</v>
      </c>
      <c r="BO7" s="98"/>
      <c r="BQ7" s="64" t="s">
        <v>541</v>
      </c>
      <c r="BR7" s="103">
        <v>0.05</v>
      </c>
    </row>
    <row r="8" spans="1:70">
      <c r="B8" s="275" t="s">
        <v>694</v>
      </c>
      <c r="C8" s="275" t="s">
        <v>689</v>
      </c>
      <c r="D8" s="277">
        <f>IF(ISBLANK(C8),"",VLOOKUP(C8,Power1[],17,FALSE)*VLOOKUP(B8,Implements7[],23,FALSE))</f>
        <v>0.93952941176470584</v>
      </c>
      <c r="E8" s="277">
        <f>IF(ISBLANK(B8),"",VLOOKUP(B8,Implements7[],23,FALSE)*VLOOKUP(B8,Implements7[],16,FALSE))</f>
        <v>0.12375</v>
      </c>
      <c r="F8" s="124">
        <f>IFERROR(IF(ISBLANK(C8),"",D8*$BR$10+E8*$BR$6+VLOOKUP(C8,Power1[],16,FALSE)*VLOOKUP(B8,Implements7[],23,FALSE))+VLOOKUP(B8,Implements7[],22,FALSE),"")</f>
        <v>7.5043760376944153</v>
      </c>
      <c r="G8" s="277">
        <f>IF(ISBLANK(B8),"",VLOOKUP(B8,Implements7[],24,FALSE)+VLOOKUP(C8,Power1[],18,FALSE)*VLOOKUP(B8,Implements7[],23,FALSE))</f>
        <v>9.8251103346413835</v>
      </c>
      <c r="H8" s="283">
        <v>1</v>
      </c>
      <c r="I8" s="124">
        <f>IF(ISBLANK(B8),"",SUM(F8:G8)*H8)</f>
        <v>17.329486372335801</v>
      </c>
      <c r="J8" s="124"/>
      <c r="K8" s="59" t="str">
        <f>Implements7[[#This Row],[Implement type]]&amp;", "&amp;Implements7[[#This Row],[Width]]&amp;" "&amp;Implements7[[#This Row],[Width Unit]]</f>
        <v>Anhydrous applicator, 36 Ft Folding</v>
      </c>
      <c r="L8" s="105" t="s">
        <v>717</v>
      </c>
      <c r="M8" s="76">
        <v>36</v>
      </c>
      <c r="N8" s="75" t="str">
        <f t="shared" si="6"/>
        <v>Ft Folding</v>
      </c>
      <c r="O8" s="76"/>
      <c r="P8" s="105"/>
      <c r="Q8" s="77">
        <v>54000</v>
      </c>
      <c r="R8" s="78">
        <v>0.15</v>
      </c>
      <c r="S8" s="79">
        <f t="shared" si="0"/>
        <v>63529.411764705881</v>
      </c>
      <c r="T8" s="76">
        <v>12</v>
      </c>
      <c r="U8" s="76">
        <v>100</v>
      </c>
      <c r="V8" s="80">
        <f t="shared" si="1"/>
        <v>1680</v>
      </c>
      <c r="W8" s="76" t="s">
        <v>562</v>
      </c>
      <c r="X8" s="76">
        <v>5.5</v>
      </c>
      <c r="Y8" s="78">
        <v>0.7</v>
      </c>
      <c r="Z8" s="78">
        <v>1.1499999999999999</v>
      </c>
      <c r="AA8" s="76">
        <v>200</v>
      </c>
      <c r="AB8" s="99">
        <f>(VLOOKUP(Implements7[[#This Row],[ASABEtype]],ASABECoefficients[],5)-VLOOKUP(Implements7[[#This Row],[ASABEtype]],ASABECoefficients[],6)*Implements7[[#This Row],[Life (yr)]]^0.5-VLOOKUP(Implements7[[#This Row],[ASABEtype]],ASABECoefficients[],7)*Implements7[[#This Row],[Use (hr/yr)]]^0.5+VLOOKUP(Implements7[[#This Row],[ASABEtype]],ASABECoefficients[],8)*$BR$17)^2+0.25*VLOOKUP(Implements7[[#This Row],[ASABEtype]],ASABECoefficients[],9)</f>
        <v>0.31452774341473483</v>
      </c>
      <c r="AC8" s="100">
        <f>Implements7[[#This Row],[TradeIn%]]*Implements7[[#This Row],[PriceL]]</f>
        <v>19981.762522818448</v>
      </c>
      <c r="AD8" s="101">
        <f>(Implements7[[#This Row],[PriceP]]-Implements7[[#This Row],[TradeIn$]])/Implements7[[#This Row],[Life (yr)]]/Implements7[[#This Row],[Use (ac/yr)]]</f>
        <v>1.6874125732728944</v>
      </c>
      <c r="AE8" s="126">
        <f>((Implements7[[#This Row],[PriceP]]+Implements7[[#This Row],[TradeIn$]])/2*($BR$7+$BR$8+$BR$9)+Implements7[[#This Row],[Shed (ft^2)]]*$BR$12)/Implements7[[#This Row],[Use (ac/yr)]]</f>
        <v>1.5135504480550599</v>
      </c>
      <c r="AF8" s="102">
        <f>Implements7[[#This Row],[PriceL]]*(VLOOKUP(Implements7[[#This Row],[ASABEtype]],ASABECoefficients[],2)*(Implements7[[#This Row],[Life (yr)]]*Implements7[[#This Row],[Use (hr/yr)]]/1000)^VLOOKUP(Implements7[[#This Row],[ASABEtype]],ASABECoefficients[],3))/Implements7[[#This Row],[Life (yr)]]/Implements7[[#This Row],[Use (ac/yr)]]</f>
        <v>2.5162887483405858</v>
      </c>
      <c r="AG8" s="61">
        <f>$BR$18/(Implements7[[#This Row],[Width]]*Implements7[[#This Row],[Speed]]*Implements7[[#This Row],[Efficiency]])</f>
        <v>5.9523809523809527E-2</v>
      </c>
      <c r="AH8" s="86">
        <f>SUM(Implements7[[#This Row],[Depr ($/ac)]:[OH (interest, insurance, taxes, housing) ($/ac)]])</f>
        <v>3.2009630213279543</v>
      </c>
      <c r="AI8" s="86"/>
      <c r="AJ8" s="59" t="s">
        <v>738</v>
      </c>
      <c r="AK8" s="86"/>
      <c r="AL8" s="88" t="str">
        <f t="shared" si="2"/>
        <v>75 HP TWD</v>
      </c>
      <c r="AM8" s="89">
        <v>75</v>
      </c>
      <c r="AN8" s="76" t="s">
        <v>723</v>
      </c>
      <c r="AO8" s="77">
        <v>65000</v>
      </c>
      <c r="AP8" s="78">
        <v>0.05</v>
      </c>
      <c r="AQ8" s="134">
        <f t="shared" si="3"/>
        <v>68421.052631578947</v>
      </c>
      <c r="AR8" s="76">
        <v>12</v>
      </c>
      <c r="AS8" s="76">
        <v>400</v>
      </c>
      <c r="AT8" s="76">
        <v>4.3999999999999997E-2</v>
      </c>
      <c r="AU8" s="76" t="s">
        <v>537</v>
      </c>
      <c r="AV8" s="76">
        <v>115</v>
      </c>
      <c r="AW8" s="90">
        <f>(VLOOKUP(Power1[[#This Row],[ASABEtype]],ASABECoefficients[],5)-VLOOKUP(Power1[[#This Row],[ASABEtype]],ASABECoefficients[],6)*Power1[[#This Row],[Life (yr)]]^0.5-VLOOKUP(Power1[[#This Row],[ASABEtype]],ASABECoefficients[],7)*Power1[[#This Row],[Use (hr/yr)]]^0.5+VLOOKUP(Power1[[#This Row],[ASABEtype]],ASABECoefficients[],8)*$BR$17)^2+0.25*VLOOKUP(Power1[[#This Row],[ASABEtype]],ASABECoefficients[],9)</f>
        <v>0.50000827367939404</v>
      </c>
      <c r="AX8" s="91">
        <f>Power1[[#This Row],[TradeIn%]]*Power1[[#This Row],[PriceL]]</f>
        <v>34211.092409642748</v>
      </c>
      <c r="AY8" s="93">
        <f>(Power1[[#This Row],[PriceP]]-Power1[[#This Row],[TradeIn$]])/Power1[[#This Row],[Life (yr)]]/Power1[[#This Row],[Use (hr/yr)]]</f>
        <v>6.4143557479910944</v>
      </c>
      <c r="AZ8" s="93">
        <f>((Power1[[#This Row],[PriceP]]+Power1[[#This Row],[TradeIn$]])/2*($BR$7+$BR$8+$BR$9)+Power1[[#This Row],[Shed (ft^2)]]*$BR$12)/Power1[[#This Row],[Use (hr/yr)]]</f>
        <v>8.153530911925353</v>
      </c>
      <c r="BA8" s="96">
        <f>Power1[[#This Row],[PriceL]]*(VLOOKUP(Power1[[#This Row],[ASABEtype]],ASABECoefficients[],2)*(Power1[[#This Row],[Life (yr)]]*Power1[[#This Row],[Use (hr/yr)]]/1000)^VLOOKUP(Power1[[#This Row],[ASABEtype]],ASABECoefficients[],3))/Power1[[#This Row],[Life (yr)]]/Power1[[#This Row],[Use (hr/yr)]]</f>
        <v>2.2989473684210529</v>
      </c>
      <c r="BB8" s="95">
        <f>Power1[[#This Row],[Fuel (gal/hph)]]*Power1[[#This Row],[HP]]*(1+$BR$11)</f>
        <v>3.63</v>
      </c>
      <c r="BC8" s="93">
        <f t="shared" si="4"/>
        <v>14.567886659916446</v>
      </c>
      <c r="BE8" s="67" t="s">
        <v>542</v>
      </c>
      <c r="BF8" s="97">
        <v>0.28000000000000003</v>
      </c>
      <c r="BG8" s="97">
        <v>1.4</v>
      </c>
      <c r="BH8" s="97">
        <v>1200</v>
      </c>
      <c r="BI8" s="97">
        <v>0.71940000000000004</v>
      </c>
      <c r="BJ8" s="97">
        <v>0.11020000000000001</v>
      </c>
      <c r="BK8" s="97">
        <v>0</v>
      </c>
      <c r="BL8" s="97">
        <v>3.0000000000000001E-3</v>
      </c>
      <c r="BM8" s="64">
        <f t="shared" si="5"/>
        <v>1.4713690000000001E-2</v>
      </c>
      <c r="BN8" s="97">
        <v>0.12130000000000001</v>
      </c>
      <c r="BO8" s="98"/>
      <c r="BQ8" s="67" t="s">
        <v>543</v>
      </c>
      <c r="BR8" s="104">
        <v>8.5000000000000006E-3</v>
      </c>
    </row>
    <row r="9" spans="1:70">
      <c r="B9" s="275" t="s">
        <v>688</v>
      </c>
      <c r="C9" s="275" t="s">
        <v>689</v>
      </c>
      <c r="D9" s="277">
        <f>IF(ISBLANK(C9),"",VLOOKUP(C9,Power1[],17,FALSE)*VLOOKUP(B9,Implements7[],23,FALSE))</f>
        <v>0.63380952380952371</v>
      </c>
      <c r="E9" s="277">
        <f>IF(ISBLANK(B9),"",VLOOKUP(B9,Implements7[],23,FALSE)*VLOOKUP(B9,Implements7[],16,FALSE))</f>
        <v>8.3482142857142852E-2</v>
      </c>
      <c r="F9" s="124">
        <f>IFERROR(IF(ISBLANK(C9),"",D9*$BR$10+E9*$BR$6+VLOOKUP(C9,Power1[],16,FALSE)*VLOOKUP(B9,Implements7[],23,FALSE))+VLOOKUP(B9,Implements7[],22,FALSE),"")</f>
        <v>6.0559996359953674</v>
      </c>
      <c r="G9" s="277">
        <f>IF(ISBLANK(B9),"",VLOOKUP(B9,Implements7[],24,FALSE)+VLOOKUP(C9,Power1[],18,FALSE)*VLOOKUP(B9,Implements7[],23,FALSE))</f>
        <v>9.6306540886643663</v>
      </c>
      <c r="H9" s="283">
        <v>1</v>
      </c>
      <c r="I9" s="124">
        <f t="shared" ref="I9:I15" si="7">IF(ISBLANK(B9),"",SUM(F9:G9)*H9)</f>
        <v>15.686653724659735</v>
      </c>
      <c r="J9" s="124"/>
      <c r="K9" s="59" t="str">
        <f>Implements7[[#This Row],[Implement type]]&amp;", "&amp;Implements7[[#This Row],[Width]]&amp;" "&amp;Implements7[[#This Row],[Width Unit]]</f>
        <v>Cultimulcher, 21 Ft Folding</v>
      </c>
      <c r="L9" s="105" t="s">
        <v>687</v>
      </c>
      <c r="M9" s="76">
        <v>21</v>
      </c>
      <c r="N9" s="75" t="str">
        <f t="shared" si="6"/>
        <v>Ft Folding</v>
      </c>
      <c r="O9" s="76"/>
      <c r="P9" s="105"/>
      <c r="Q9" s="77">
        <v>67000</v>
      </c>
      <c r="R9" s="78">
        <v>0.1</v>
      </c>
      <c r="S9" s="79">
        <f t="shared" si="0"/>
        <v>74444.444444444438</v>
      </c>
      <c r="T9" s="76">
        <v>12</v>
      </c>
      <c r="U9" s="76">
        <v>80</v>
      </c>
      <c r="V9" s="80">
        <f t="shared" si="1"/>
        <v>977.45454545454561</v>
      </c>
      <c r="W9" s="76" t="s">
        <v>596</v>
      </c>
      <c r="X9" s="76">
        <v>6</v>
      </c>
      <c r="Y9" s="78">
        <v>0.8</v>
      </c>
      <c r="Z9" s="78">
        <v>1.02</v>
      </c>
      <c r="AA9" s="76">
        <v>225</v>
      </c>
      <c r="AB9" s="99">
        <f>(VLOOKUP(Implements7[[#This Row],[ASABEtype]],ASABECoefficients[],5)-VLOOKUP(Implements7[[#This Row],[ASABEtype]],ASABECoefficients[],6)*Implements7[[#This Row],[Life (yr)]]^0.5-VLOOKUP(Implements7[[#This Row],[ASABEtype]],ASABECoefficients[],7)*Implements7[[#This Row],[Use (hr/yr)]]^0.5+VLOOKUP(Implements7[[#This Row],[ASABEtype]],ASABECoefficients[],8)*$BR$17)^2+0.25*VLOOKUP(Implements7[[#This Row],[ASABEtype]],ASABECoefficients[],9)</f>
        <v>0.34143443659524941</v>
      </c>
      <c r="AC9" s="100">
        <f>Implements7[[#This Row],[TradeIn%]]*Implements7[[#This Row],[PriceL]]</f>
        <v>25417.896946535231</v>
      </c>
      <c r="AD9" s="101">
        <f>(Implements7[[#This Row],[PriceP]]-Implements7[[#This Row],[TradeIn$]])/Implements7[[#This Row],[Life (yr)]]/Implements7[[#This Row],[Use (ac/yr)]]</f>
        <v>3.5451011717828655</v>
      </c>
      <c r="AE9" s="126">
        <f>((Implements7[[#This Row],[PriceP]]+Implements7[[#This Row],[TradeIn$]])/2*($BR$7+$BR$8+$BR$9)+Implements7[[#This Row],[Shed (ft^2)]]*$BR$12)/Implements7[[#This Row],[Use (ac/yr)]]</f>
        <v>3.225052775521855</v>
      </c>
      <c r="AF9" s="102">
        <f>Implements7[[#This Row],[PriceL]]*(VLOOKUP(Implements7[[#This Row],[ASABEtype]],ASABECoefficients[],2)*(Implements7[[#This Row],[Life (yr)]]*Implements7[[#This Row],[Use (hr/yr)]]/1000)^VLOOKUP(Implements7[[#This Row],[ASABEtype]],ASABECoefficients[],3))/Implements7[[#This Row],[Life (yr)]]/Implements7[[#This Row],[Use (ac/yr)]]</f>
        <v>0.96300171880027585</v>
      </c>
      <c r="AG9" s="61">
        <f>$BR$18/(Implements7[[#This Row],[Width]]*Implements7[[#This Row],[Speed]]*Implements7[[#This Row],[Efficiency]])</f>
        <v>8.1845238095238082E-2</v>
      </c>
      <c r="AH9" s="86">
        <f>SUM(Implements7[[#This Row],[Depr ($/ac)]:[OH (interest, insurance, taxes, housing) ($/ac)]])</f>
        <v>6.7701539473047205</v>
      </c>
      <c r="AI9" s="86"/>
      <c r="AJ9" s="59" t="s">
        <v>736</v>
      </c>
      <c r="AK9" s="86"/>
      <c r="AL9" s="88" t="str">
        <f t="shared" si="2"/>
        <v>105 HP MFWD</v>
      </c>
      <c r="AM9" s="89">
        <v>105</v>
      </c>
      <c r="AN9" s="76" t="s">
        <v>546</v>
      </c>
      <c r="AO9" s="77">
        <v>92600</v>
      </c>
      <c r="AP9" s="78">
        <v>0.1</v>
      </c>
      <c r="AQ9" s="134">
        <f t="shared" si="3"/>
        <v>102888.88888888889</v>
      </c>
      <c r="AR9" s="76">
        <v>12</v>
      </c>
      <c r="AS9" s="76">
        <v>450</v>
      </c>
      <c r="AT9" s="76">
        <v>4.3999999999999997E-2</v>
      </c>
      <c r="AU9" s="76" t="s">
        <v>547</v>
      </c>
      <c r="AV9" s="76">
        <v>127</v>
      </c>
      <c r="AW9" s="90">
        <f>(VLOOKUP(Power1[[#This Row],[ASABEtype]],ASABECoefficients[],5)-VLOOKUP(Power1[[#This Row],[ASABEtype]],ASABECoefficients[],6)*Power1[[#This Row],[Life (yr)]]^0.5-VLOOKUP(Power1[[#This Row],[ASABEtype]],ASABECoefficients[],7)*Power1[[#This Row],[Use (hr/yr)]]^0.5+VLOOKUP(Power1[[#This Row],[ASABEtype]],ASABECoefficients[],8)*$BR$17)^2+0.25*VLOOKUP(Power1[[#This Row],[ASABEtype]],ASABECoefficients[],9)</f>
        <v>0.39069400204389637</v>
      </c>
      <c r="AX9" s="91">
        <f>Power1[[#This Row],[TradeIn%]]*Power1[[#This Row],[PriceL]]</f>
        <v>40198.071765849782</v>
      </c>
      <c r="AY9" s="93">
        <f>(Power1[[#This Row],[PriceP]]-Power1[[#This Row],[TradeIn$]])/Power1[[#This Row],[Life (yr)]]/Power1[[#This Row],[Use (hr/yr)]]</f>
        <v>9.7040607841018911</v>
      </c>
      <c r="AZ9" s="93">
        <f>((Power1[[#This Row],[PriceP]]+Power1[[#This Row],[TradeIn$]])/2*($BR$7+$BR$8+$BR$9)+Power1[[#This Row],[Shed (ft^2)]]*$BR$12)/Power1[[#This Row],[Use (hr/yr)]]</f>
        <v>9.643176859750433</v>
      </c>
      <c r="BA9" s="96">
        <f>Power1[[#This Row],[PriceL]]*(VLOOKUP(Power1[[#This Row],[ASABEtype]],ASABECoefficients[],2)*(Power1[[#This Row],[Life (yr)]]*Power1[[#This Row],[Use (hr/yr)]]/1000)^VLOOKUP(Power1[[#This Row],[ASABEtype]],ASABECoefficients[],3))/Power1[[#This Row],[Life (yr)]]/Power1[[#This Row],[Use (hr/yr)]]</f>
        <v>2.7780000000000005</v>
      </c>
      <c r="BB9" s="95">
        <f>Power1[[#This Row],[Fuel (gal/hph)]]*Power1[[#This Row],[HP]]*(1+$BR$11)</f>
        <v>5.0820000000000007</v>
      </c>
      <c r="BC9" s="93">
        <f t="shared" si="4"/>
        <v>19.347237643852324</v>
      </c>
      <c r="BE9" s="67" t="s">
        <v>548</v>
      </c>
      <c r="BF9" s="97">
        <v>0.41</v>
      </c>
      <c r="BG9" s="97">
        <v>1.3</v>
      </c>
      <c r="BH9" s="97">
        <v>1500</v>
      </c>
      <c r="BI9" s="97">
        <v>0.85540000000000005</v>
      </c>
      <c r="BJ9" s="97">
        <v>0.1177</v>
      </c>
      <c r="BK9" s="97">
        <v>0</v>
      </c>
      <c r="BL9" s="97">
        <v>2.8999999999999998E-3</v>
      </c>
      <c r="BM9" s="64">
        <f t="shared" si="5"/>
        <v>1.6230760000000004E-2</v>
      </c>
      <c r="BN9" s="97">
        <v>0.12740000000000001</v>
      </c>
      <c r="BO9" s="98"/>
      <c r="BQ9" s="67" t="s">
        <v>549</v>
      </c>
      <c r="BR9" s="106">
        <v>5.0000000000000001E-3</v>
      </c>
    </row>
    <row r="10" spans="1:70">
      <c r="B10" s="275" t="s">
        <v>690</v>
      </c>
      <c r="C10" s="275" t="s">
        <v>689</v>
      </c>
      <c r="D10" s="277">
        <f>IF(ISBLANK(C10),"",VLOOKUP(C10,Power1[],17,FALSE)*VLOOKUP(B10,Implements7[],23,FALSE))</f>
        <v>0.63380952380952371</v>
      </c>
      <c r="E10" s="277">
        <f>IF(ISBLANK(B10),"",VLOOKUP(B10,Implements7[],23,FALSE)*VLOOKUP(B10,Implements7[],16,FALSE))</f>
        <v>8.3482142857142852E-2</v>
      </c>
      <c r="F10" s="124">
        <f>IFERROR(IF(ISBLANK(C10),"",D10*$BR$10+E10*$BR$6+VLOOKUP(C10,Power1[],16,FALSE)*VLOOKUP(B10,Implements7[],23,FALSE))+VLOOKUP(B10,Implements7[],22,FALSE),"")</f>
        <v>5.428930786260592</v>
      </c>
      <c r="G10" s="277">
        <f>IF(ISBLANK(B10),"",VLOOKUP(B10,Implements7[],24,FALSE)+VLOOKUP(C10,Power1[],18,FALSE)*VLOOKUP(B10,Implements7[],23,FALSE))</f>
        <v>9.5107068310335396</v>
      </c>
      <c r="H10" s="283">
        <v>1</v>
      </c>
      <c r="I10" s="124">
        <f t="shared" si="7"/>
        <v>14.939637617294132</v>
      </c>
      <c r="J10" s="124"/>
      <c r="K10" s="59" t="str">
        <f>Implements7[[#This Row],[Implement type]]&amp;", "&amp;Implements7[[#This Row],[Width]]&amp;" "&amp;Implements7[[#This Row],[Width Unit]]</f>
        <v>Field cultivator, 24 Ft Folding</v>
      </c>
      <c r="L10" s="105" t="s">
        <v>557</v>
      </c>
      <c r="M10" s="76">
        <v>24</v>
      </c>
      <c r="N10" s="75" t="str">
        <f t="shared" si="6"/>
        <v>Ft Folding</v>
      </c>
      <c r="O10" s="76"/>
      <c r="P10" s="76"/>
      <c r="Q10" s="77">
        <v>53500</v>
      </c>
      <c r="R10" s="78">
        <v>0.1</v>
      </c>
      <c r="S10" s="79">
        <f t="shared" si="0"/>
        <v>59444.444444444445</v>
      </c>
      <c r="T10" s="76">
        <v>12</v>
      </c>
      <c r="U10" s="76">
        <v>100</v>
      </c>
      <c r="V10" s="80">
        <f t="shared" si="1"/>
        <v>1730.9090909090908</v>
      </c>
      <c r="W10" s="76" t="s">
        <v>558</v>
      </c>
      <c r="X10" s="76">
        <v>7</v>
      </c>
      <c r="Y10" s="78">
        <v>0.85</v>
      </c>
      <c r="Z10" s="78">
        <v>1.02</v>
      </c>
      <c r="AA10" s="76">
        <v>200</v>
      </c>
      <c r="AB10" s="99">
        <f>(VLOOKUP(Implements7[[#This Row],[ASABEtype]],ASABECoefficients[],5)-VLOOKUP(Implements7[[#This Row],[ASABEtype]],ASABECoefficients[],6)*Implements7[[#This Row],[Life (yr)]]^0.5-VLOOKUP(Implements7[[#This Row],[ASABEtype]],ASABECoefficients[],7)*Implements7[[#This Row],[Use (hr/yr)]]^0.5+VLOOKUP(Implements7[[#This Row],[ASABEtype]],ASABECoefficients[],8)*$BR$17)^2+0.25*VLOOKUP(Implements7[[#This Row],[ASABEtype]],ASABECoefficients[],9)</f>
        <v>0.30248724410907551</v>
      </c>
      <c r="AC10" s="100">
        <f>Implements7[[#This Row],[TradeIn%]]*Implements7[[#This Row],[PriceL]]</f>
        <v>17981.186177595046</v>
      </c>
      <c r="AD10" s="101">
        <f>(Implements7[[#This Row],[PriceP]]-Implements7[[#This Row],[TradeIn$]])/Implements7[[#This Row],[Life (yr)]]/Implements7[[#This Row],[Use (ac/yr)]]</f>
        <v>1.710026925973628</v>
      </c>
      <c r="AE10" s="84">
        <f>((Implements7[[#This Row],[PriceP]]+Implements7[[#This Row],[TradeIn$]])/2*($BR$7+$BR$8+$BR$9)+Implements7[[#This Row],[Shed (ft^2)]]*$BR$12)/Implements7[[#This Row],[Use (ac/yr)]]</f>
        <v>1.4231662810655588</v>
      </c>
      <c r="AF10" s="102">
        <f>Implements7[[#This Row],[PriceL]]*(VLOOKUP(Implements7[[#This Row],[ASABEtype]],ASABECoefficients[],2)*(Implements7[[#This Row],[Life (yr)]]*Implements7[[#This Row],[Use (hr/yr)]]/1000)^VLOOKUP(Implements7[[#This Row],[ASABEtype]],ASABECoefficients[],3))/Implements7[[#This Row],[Life (yr)]]/Implements7[[#This Row],[Use (ac/yr)]]</f>
        <v>0.99740898522292698</v>
      </c>
      <c r="AG10" s="61">
        <f>$BR$18/(Implements7[[#This Row],[Width]]*Implements7[[#This Row],[Speed]]*Implements7[[#This Row],[Efficiency]])</f>
        <v>5.7773109243697489E-2</v>
      </c>
      <c r="AH10" s="86">
        <f>SUM(Implements7[[#This Row],[Depr ($/ac)]:[OH (interest, insurance, taxes, housing) ($/ac)]])</f>
        <v>3.133193207039187</v>
      </c>
      <c r="AI10" s="87">
        <v>8</v>
      </c>
      <c r="AJ10" s="59" t="s">
        <v>736</v>
      </c>
      <c r="AK10" s="86"/>
      <c r="AL10" s="88" t="str">
        <f>CONCATENATE(AM10&amp;" "&amp;AN10)</f>
        <v>130 HP MFWD</v>
      </c>
      <c r="AM10" s="89">
        <v>130</v>
      </c>
      <c r="AN10" s="76" t="s">
        <v>546</v>
      </c>
      <c r="AO10" s="77">
        <v>153000</v>
      </c>
      <c r="AP10" s="78">
        <v>0.1</v>
      </c>
      <c r="AQ10" s="134">
        <f>AO10/(1-AP10)</f>
        <v>170000</v>
      </c>
      <c r="AR10" s="76">
        <v>12</v>
      </c>
      <c r="AS10" s="76">
        <v>450</v>
      </c>
      <c r="AT10" s="76">
        <v>4.3999999999999997E-2</v>
      </c>
      <c r="AU10" s="76" t="s">
        <v>547</v>
      </c>
      <c r="AV10" s="76">
        <v>130</v>
      </c>
      <c r="AW10" s="90">
        <f>(VLOOKUP(Power1[[#This Row],[ASABEtype]],ASABECoefficients[],5)-VLOOKUP(Power1[[#This Row],[ASABEtype]],ASABECoefficients[],6)*Power1[[#This Row],[Life (yr)]]^0.5-VLOOKUP(Power1[[#This Row],[ASABEtype]],ASABECoefficients[],7)*Power1[[#This Row],[Use (hr/yr)]]^0.5+VLOOKUP(Power1[[#This Row],[ASABEtype]],ASABECoefficients[],8)*$BR$17)^2+0.25*VLOOKUP(Power1[[#This Row],[ASABEtype]],ASABECoefficients[],9)</f>
        <v>0.39069400204389637</v>
      </c>
      <c r="AX10" s="91">
        <f>Power1[[#This Row],[TradeIn%]]*Power1[[#This Row],[PriceL]]</f>
        <v>66417.980347462377</v>
      </c>
      <c r="AY10" s="93">
        <f>(Power1[[#This Row],[PriceP]]-Power1[[#This Row],[TradeIn$]])/Power1[[#This Row],[Life (yr)]]/Power1[[#This Row],[Use (hr/yr)]]</f>
        <v>16.033707343062524</v>
      </c>
      <c r="AZ10" s="93">
        <f>((Power1[[#This Row],[PriceP]]+Power1[[#This Row],[TradeIn$]])/2*($BR$7+$BR$8+$BR$9)+Power1[[#This Row],[Shed (ft^2)]]*$BR$12)/Power1[[#This Row],[Use (hr/yr)]]</f>
        <v>15.761154091651978</v>
      </c>
      <c r="BA10" s="96">
        <f>Power1[[#This Row],[PriceL]]*(VLOOKUP(Power1[[#This Row],[ASABEtype]],ASABECoefficients[],2)*(Power1[[#This Row],[Life (yr)]]*Power1[[#This Row],[Use (hr/yr)]]/1000)^VLOOKUP(Power1[[#This Row],[ASABEtype]],ASABECoefficients[],3))/Power1[[#This Row],[Life (yr)]]/Power1[[#This Row],[Use (hr/yr)]]</f>
        <v>4.5900000000000007</v>
      </c>
      <c r="BB10" s="95">
        <f>Power1[[#This Row],[Fuel (gal/hph)]]*Power1[[#This Row],[HP]]*(1+$BR$11)</f>
        <v>6.2919999999999998</v>
      </c>
      <c r="BC10" s="93">
        <f t="shared" si="4"/>
        <v>31.794861434714502</v>
      </c>
      <c r="BE10" s="67" t="s">
        <v>535</v>
      </c>
      <c r="BF10" s="97">
        <v>0.28000000000000003</v>
      </c>
      <c r="BG10" s="97">
        <v>1.4</v>
      </c>
      <c r="BH10" s="97">
        <v>2000</v>
      </c>
      <c r="BI10" s="97">
        <v>0.69269999999999998</v>
      </c>
      <c r="BJ10" s="97">
        <v>7.0300000000000001E-2</v>
      </c>
      <c r="BK10" s="97">
        <v>0</v>
      </c>
      <c r="BL10" s="97">
        <v>1.1999999999999999E-3</v>
      </c>
      <c r="BM10" s="64">
        <f t="shared" si="5"/>
        <v>1.4957290000000002E-2</v>
      </c>
      <c r="BN10" s="97">
        <v>0.12230000000000001</v>
      </c>
      <c r="BO10" s="98"/>
      <c r="BQ10" s="67" t="s">
        <v>550</v>
      </c>
      <c r="BR10" s="142">
        <f>Inputs!D29</f>
        <v>4</v>
      </c>
    </row>
    <row r="11" spans="1:70">
      <c r="B11" s="275" t="s">
        <v>785</v>
      </c>
      <c r="C11" s="275" t="s">
        <v>679</v>
      </c>
      <c r="D11" s="277">
        <f>IF(ISBLANK(C11),"",VLOOKUP(C11,Power1[],17,FALSE)*VLOOKUP(B11,Implements7[],23,FALSE))</f>
        <v>0.74868750000000017</v>
      </c>
      <c r="E11" s="277">
        <f>IF(ISBLANK(B11),"",VLOOKUP(B11,Implements7[],23,FALSE)*VLOOKUP(B11,Implements7[],16,FALSE))</f>
        <v>0.16352678571428572</v>
      </c>
      <c r="F11" s="124">
        <f>IFERROR(IF(ISBLANK(C11),"",D11*$BR$10+E11*$BR$6+VLOOKUP(C11,Power1[],16,FALSE)*VLOOKUP(B11,Implements7[],23,FALSE))+VLOOKUP(B11,Implements7[],22,FALSE),"")</f>
        <v>7.6107961576625005</v>
      </c>
      <c r="G11" s="277">
        <f>IF(ISBLANK(B11),"",VLOOKUP(B11,Implements7[],24,FALSE)+VLOOKUP(C11,Power1[],18,FALSE)*VLOOKUP(B11,Implements7[],23,FALSE))</f>
        <v>9.0215808656999545</v>
      </c>
      <c r="H11" s="283">
        <v>1</v>
      </c>
      <c r="I11" s="124">
        <f t="shared" si="7"/>
        <v>16.632377023362455</v>
      </c>
      <c r="J11" s="124"/>
      <c r="K11" s="59" t="str">
        <f>Implements7[[#This Row],[Implement type]]&amp;", "&amp;Implements7[[#This Row],[Width]]&amp;" "&amp;Implements7[[#This Row],[Width Unit]]</f>
        <v>Field cultivator, 47 Ft Folding</v>
      </c>
      <c r="L11" s="105" t="s">
        <v>557</v>
      </c>
      <c r="M11" s="76">
        <v>47</v>
      </c>
      <c r="N11" s="75" t="str">
        <f t="shared" si="6"/>
        <v>Ft Folding</v>
      </c>
      <c r="O11" s="76"/>
      <c r="P11" s="76"/>
      <c r="Q11" s="77">
        <v>102000</v>
      </c>
      <c r="R11" s="78">
        <v>0.1</v>
      </c>
      <c r="S11" s="79">
        <f t="shared" si="0"/>
        <v>113333.33333333333</v>
      </c>
      <c r="T11" s="76">
        <v>12</v>
      </c>
      <c r="U11" s="76">
        <v>100</v>
      </c>
      <c r="V11" s="80">
        <f t="shared" si="1"/>
        <v>3389.6969696969691</v>
      </c>
      <c r="W11" s="76" t="s">
        <v>558</v>
      </c>
      <c r="X11" s="76">
        <v>7</v>
      </c>
      <c r="Y11" s="78">
        <v>0.85</v>
      </c>
      <c r="Z11" s="78">
        <v>1.02</v>
      </c>
      <c r="AA11" s="76">
        <v>400</v>
      </c>
      <c r="AB11" s="99">
        <f>(VLOOKUP(Implements7[[#This Row],[ASABEtype]],ASABECoefficients[],5)-VLOOKUP(Implements7[[#This Row],[ASABEtype]],ASABECoefficients[],6)*Implements7[[#This Row],[Life (yr)]]^0.5-VLOOKUP(Implements7[[#This Row],[ASABEtype]],ASABECoefficients[],7)*Implements7[[#This Row],[Use (hr/yr)]]^0.5+VLOOKUP(Implements7[[#This Row],[ASABEtype]],ASABECoefficients[],8)*$BR$17)^2+0.25*VLOOKUP(Implements7[[#This Row],[ASABEtype]],ASABECoefficients[],9)</f>
        <v>0.30248724410907551</v>
      </c>
      <c r="AC11" s="100">
        <f>Implements7[[#This Row],[TradeIn%]]*Implements7[[#This Row],[PriceL]]</f>
        <v>34281.887665695227</v>
      </c>
      <c r="AD11" s="101">
        <f>(Implements7[[#This Row],[PriceP]]-Implements7[[#This Row],[TradeIn$]])/Implements7[[#This Row],[Life (yr)]]/Implements7[[#This Row],[Use (ac/yr)]]</f>
        <v>1.6648025113475611</v>
      </c>
      <c r="AE11" s="84">
        <f>((Implements7[[#This Row],[PriceP]]+Implements7[[#This Row],[TradeIn$]])/2*($BR$7+$BR$8+$BR$9)+Implements7[[#This Row],[Shed (ft^2)]]*$BR$12)/Implements7[[#This Row],[Use (ac/yr)]]</f>
        <v>1.3908728599634468</v>
      </c>
      <c r="AF11" s="102">
        <f>Implements7[[#This Row],[PriceL]]*(VLOOKUP(Implements7[[#This Row],[ASABEtype]],ASABECoefficients[],2)*(Implements7[[#This Row],[Life (yr)]]*Implements7[[#This Row],[Use (hr/yr)]]/1000)^VLOOKUP(Implements7[[#This Row],[ASABEtype]],ASABECoefficients[],3))/Implements7[[#This Row],[Life (yr)]]/Implements7[[#This Row],[Use (ac/yr)]]</f>
        <v>0.97103089911542062</v>
      </c>
      <c r="AG11" s="61">
        <f>$BR$18/(Implements7[[#This Row],[Width]]*Implements7[[#This Row],[Speed]]*Implements7[[#This Row],[Efficiency]])</f>
        <v>2.9501162166994461E-2</v>
      </c>
      <c r="AH11" s="86">
        <f>SUM(Implements7[[#This Row],[Depr ($/ac)]:[OH (interest, insurance, taxes, housing) ($/ac)]])</f>
        <v>3.0556753713110076</v>
      </c>
      <c r="AI11" s="87">
        <v>9</v>
      </c>
      <c r="AJ11" s="59" t="s">
        <v>736</v>
      </c>
      <c r="AK11" s="86"/>
      <c r="AL11" s="88" t="str">
        <f t="shared" si="2"/>
        <v>160 HP MFWD</v>
      </c>
      <c r="AM11" s="89">
        <v>160</v>
      </c>
      <c r="AN11" s="76" t="s">
        <v>546</v>
      </c>
      <c r="AO11" s="77">
        <v>178000</v>
      </c>
      <c r="AP11" s="78">
        <v>0.1</v>
      </c>
      <c r="AQ11" s="134">
        <f t="shared" si="3"/>
        <v>197777.77777777778</v>
      </c>
      <c r="AR11" s="76">
        <v>12</v>
      </c>
      <c r="AS11" s="76">
        <v>500</v>
      </c>
      <c r="AT11" s="76">
        <v>4.3999999999999997E-2</v>
      </c>
      <c r="AU11" s="76" t="s">
        <v>547</v>
      </c>
      <c r="AV11" s="76">
        <v>200</v>
      </c>
      <c r="AW11" s="90">
        <f>(VLOOKUP(Power1[[#This Row],[ASABEtype]],ASABECoefficients[],5)-VLOOKUP(Power1[[#This Row],[ASABEtype]],ASABECoefficients[],6)*Power1[[#This Row],[Life (yr)]]^0.5-VLOOKUP(Power1[[#This Row],[ASABEtype]],ASABECoefficients[],7)*Power1[[#This Row],[Use (hr/yr)]]^0.5+VLOOKUP(Power1[[#This Row],[ASABEtype]],ASABECoefficients[],8)*$BR$17)^2+0.25*VLOOKUP(Power1[[#This Row],[ASABEtype]],ASABECoefficients[],9)</f>
        <v>0.38584357259292823</v>
      </c>
      <c r="AX11" s="91">
        <f>Power1[[#This Row],[TradeIn%]]*Power1[[#This Row],[PriceL]]</f>
        <v>76311.284357268029</v>
      </c>
      <c r="AY11" s="93">
        <f>(Power1[[#This Row],[PriceP]]-Power1[[#This Row],[TradeIn$]])/Power1[[#This Row],[Life (yr)]]/Power1[[#This Row],[Use (hr/yr)]]</f>
        <v>16.948119273788663</v>
      </c>
      <c r="AZ11" s="93">
        <f>((Power1[[#This Row],[PriceP]]+Power1[[#This Row],[TradeIn$]])/2*($BR$7+$BR$8+$BR$9)+Power1[[#This Row],[Shed (ft^2)]]*$BR$12)/Power1[[#This Row],[Use (hr/yr)]]</f>
        <v>16.53645414195255</v>
      </c>
      <c r="BA11" s="96">
        <f>Power1[[#This Row],[PriceL]]*(VLOOKUP(Power1[[#This Row],[ASABEtype]],ASABECoefficients[],2)*(Power1[[#This Row],[Life (yr)]]*Power1[[#This Row],[Use (hr/yr)]]/1000)^VLOOKUP(Power1[[#This Row],[ASABEtype]],ASABECoefficients[],3))/Power1[[#This Row],[Life (yr)]]/Power1[[#This Row],[Use (hr/yr)]]</f>
        <v>5.9333333333333327</v>
      </c>
      <c r="BB11" s="95">
        <f>Power1[[#This Row],[Fuel (gal/hph)]]*Power1[[#This Row],[HP]]*(1+$BR$11)</f>
        <v>7.7439999999999998</v>
      </c>
      <c r="BC11" s="93">
        <f t="shared" si="4"/>
        <v>33.48457341574121</v>
      </c>
      <c r="BE11" s="67" t="s">
        <v>553</v>
      </c>
      <c r="BF11" s="97">
        <v>0.04</v>
      </c>
      <c r="BG11" s="97">
        <v>2.1</v>
      </c>
      <c r="BH11" s="97">
        <v>3000</v>
      </c>
      <c r="BI11" s="97">
        <v>1.0190501798876355</v>
      </c>
      <c r="BJ11" s="97">
        <v>0.174199608497973</v>
      </c>
      <c r="BK11" s="97">
        <v>7.6964422098118896E-3</v>
      </c>
      <c r="BL11" s="97">
        <v>7.4905071015698174E-4</v>
      </c>
      <c r="BM11" s="64">
        <f t="shared" si="5"/>
        <v>0</v>
      </c>
      <c r="BN11" s="97">
        <v>0</v>
      </c>
      <c r="BO11" s="98" t="s">
        <v>554</v>
      </c>
      <c r="BQ11" s="67" t="s">
        <v>555</v>
      </c>
      <c r="BR11" s="107">
        <v>0.1</v>
      </c>
    </row>
    <row r="12" spans="1:70" ht="15.75">
      <c r="B12" s="275" t="s">
        <v>691</v>
      </c>
      <c r="C12" s="275" t="s">
        <v>689</v>
      </c>
      <c r="D12" s="277">
        <f>IF(ISBLANK(C12),"",VLOOKUP(C12,Power1[],17,FALSE)*VLOOKUP(B12,Implements7[],23,FALSE))</f>
        <v>0.16801577909270216</v>
      </c>
      <c r="E12" s="277">
        <f>IF(ISBLANK(B12),"",VLOOKUP(B12,Implements7[],23,FALSE)*VLOOKUP(B12,Implements7[],16,FALSE))</f>
        <v>2.7120315581854043E-2</v>
      </c>
      <c r="F12" s="124">
        <f>IFERROR(IF(ISBLANK(C12),"",D12*$BR$10+E12*$BR$6+VLOOKUP(C12,Power1[],16,FALSE)*VLOOKUP(B12,Implements7[],23,FALSE))+VLOOKUP(B12,Implements7[],22,FALSE),"")</f>
        <v>1.645616351061465</v>
      </c>
      <c r="G12" s="277">
        <f>IF(ISBLANK(B12),"",VLOOKUP(B12,Implements7[],24,FALSE)+VLOOKUP(C12,Power1[],18,FALSE)*VLOOKUP(B12,Implements7[],23,FALSE))</f>
        <v>5.2302880883026779</v>
      </c>
      <c r="H12" s="283">
        <v>2</v>
      </c>
      <c r="I12" s="124">
        <f t="shared" si="7"/>
        <v>13.751808878728285</v>
      </c>
      <c r="J12" s="124"/>
      <c r="K12" s="59" t="str">
        <f>Implements7[[#This Row],[Implement type]]&amp;", "&amp;Implements7[[#This Row],[Width]]&amp;" "&amp;Implements7[[#This Row],[Width Unit]]</f>
        <v>Field cultivator, 60 Ft Folding</v>
      </c>
      <c r="L12" s="105" t="s">
        <v>557</v>
      </c>
      <c r="M12" s="76">
        <v>60</v>
      </c>
      <c r="N12" s="75" t="str">
        <f t="shared" si="6"/>
        <v>Ft Folding</v>
      </c>
      <c r="O12" s="76"/>
      <c r="P12" s="76"/>
      <c r="Q12" s="77">
        <v>137500</v>
      </c>
      <c r="R12" s="78">
        <v>0.1</v>
      </c>
      <c r="S12" s="79">
        <f t="shared" si="0"/>
        <v>152777.77777777778</v>
      </c>
      <c r="T12" s="76">
        <v>12</v>
      </c>
      <c r="U12" s="76">
        <v>100</v>
      </c>
      <c r="V12" s="80">
        <f t="shared" si="1"/>
        <v>4327.272727272727</v>
      </c>
      <c r="W12" s="76" t="s">
        <v>558</v>
      </c>
      <c r="X12" s="76">
        <v>7</v>
      </c>
      <c r="Y12" s="78">
        <v>0.85</v>
      </c>
      <c r="Z12" s="78">
        <v>1.02</v>
      </c>
      <c r="AA12" s="76">
        <v>400</v>
      </c>
      <c r="AB12" s="99">
        <f>(VLOOKUP(Implements7[[#This Row],[ASABEtype]],ASABECoefficients[],5)-VLOOKUP(Implements7[[#This Row],[ASABEtype]],ASABECoefficients[],6)*Implements7[[#This Row],[Life (yr)]]^0.5-VLOOKUP(Implements7[[#This Row],[ASABEtype]],ASABECoefficients[],7)*Implements7[[#This Row],[Use (hr/yr)]]^0.5+VLOOKUP(Implements7[[#This Row],[ASABEtype]],ASABECoefficients[],8)*$BR$17)^2+0.25*VLOOKUP(Implements7[[#This Row],[ASABEtype]],ASABECoefficients[],9)</f>
        <v>0.30248724410907551</v>
      </c>
      <c r="AC12" s="100">
        <f>Implements7[[#This Row],[TradeIn%]]*Implements7[[#This Row],[PriceL]]</f>
        <v>46213.32896110876</v>
      </c>
      <c r="AD12" s="101">
        <f>(Implements7[[#This Row],[PriceP]]-Implements7[[#This Row],[TradeIn$]])/Implements7[[#This Row],[Life (yr)]]/Implements7[[#This Row],[Use (ac/yr)]]</f>
        <v>1.757971606141113</v>
      </c>
      <c r="AE12" s="84">
        <f>((Implements7[[#This Row],[PriceP]]+Implements7[[#This Row],[TradeIn$]])/2*($BR$7+$BR$8+$BR$9)+Implements7[[#This Row],[Shed (ft^2)]]*$BR$12)/Implements7[[#This Row],[Use (ac/yr)]]</f>
        <v>1.437530327260369</v>
      </c>
      <c r="AF12" s="102">
        <f>Implements7[[#This Row],[PriceL]]*(VLOOKUP(Implements7[[#This Row],[ASABEtype]],ASABECoefficients[],2)*(Implements7[[#This Row],[Life (yr)]]*Implements7[[#This Row],[Use (hr/yr)]]/1000)^VLOOKUP(Implements7[[#This Row],[ASABEtype]],ASABECoefficients[],3))/Implements7[[#This Row],[Life (yr)]]/Implements7[[#This Row],[Use (ac/yr)]]</f>
        <v>1.0253737231263733</v>
      </c>
      <c r="AG12" s="61">
        <f>$BR$18/(Implements7[[#This Row],[Width]]*Implements7[[#This Row],[Speed]]*Implements7[[#This Row],[Efficiency]])</f>
        <v>2.3109243697478993E-2</v>
      </c>
      <c r="AH12" s="86">
        <f>SUM(Implements7[[#This Row],[Depr ($/ac)]:[OH (interest, insurance, taxes, housing) ($/ac)]])</f>
        <v>3.195501933401482</v>
      </c>
      <c r="AI12" s="87">
        <v>10</v>
      </c>
      <c r="AJ12" s="59" t="s">
        <v>736</v>
      </c>
      <c r="AK12" s="86"/>
      <c r="AL12" s="88" t="str">
        <f t="shared" si="2"/>
        <v>200 HP MFWD</v>
      </c>
      <c r="AM12" s="89">
        <v>200</v>
      </c>
      <c r="AN12" s="76" t="s">
        <v>546</v>
      </c>
      <c r="AO12" s="77">
        <v>262000</v>
      </c>
      <c r="AP12" s="78">
        <v>0.1</v>
      </c>
      <c r="AQ12" s="134">
        <f t="shared" si="3"/>
        <v>291111.11111111112</v>
      </c>
      <c r="AR12" s="76">
        <v>12</v>
      </c>
      <c r="AS12" s="76">
        <v>500</v>
      </c>
      <c r="AT12" s="76">
        <v>4.3999999999999997E-2</v>
      </c>
      <c r="AU12" s="76" t="s">
        <v>547</v>
      </c>
      <c r="AV12" s="76">
        <v>210</v>
      </c>
      <c r="AW12" s="90">
        <f>(VLOOKUP(Power1[[#This Row],[ASABEtype]],ASABECoefficients[],5)-VLOOKUP(Power1[[#This Row],[ASABEtype]],ASABECoefficients[],6)*Power1[[#This Row],[Life (yr)]]^0.5-VLOOKUP(Power1[[#This Row],[ASABEtype]],ASABECoefficients[],7)*Power1[[#This Row],[Use (hr/yr)]]^0.5+VLOOKUP(Power1[[#This Row],[ASABEtype]],ASABECoefficients[],8)*$BR$17)^2+0.25*VLOOKUP(Power1[[#This Row],[ASABEtype]],ASABECoefficients[],9)</f>
        <v>0.38584357259292823</v>
      </c>
      <c r="AX12" s="91">
        <f>Power1[[#This Row],[TradeIn%]]*Power1[[#This Row],[PriceL]]</f>
        <v>112323.351132608</v>
      </c>
      <c r="AY12" s="93">
        <f>(Power1[[#This Row],[PriceP]]-Power1[[#This Row],[TradeIn$]])/Power1[[#This Row],[Life (yr)]]/Power1[[#This Row],[Use (hr/yr)]]</f>
        <v>24.946108144565329</v>
      </c>
      <c r="AZ12" s="93">
        <f>((Power1[[#This Row],[PriceP]]+Power1[[#This Row],[TradeIn$]])/2*($BR$7+$BR$8+$BR$9)+Power1[[#This Row],[Shed (ft^2)]]*$BR$12)/Power1[[#This Row],[Use (hr/yr)]]</f>
        <v>24.176604761449941</v>
      </c>
      <c r="BA12" s="96">
        <f>Power1[[#This Row],[PriceL]]*(VLOOKUP(Power1[[#This Row],[ASABEtype]],ASABECoefficients[],2)*(Power1[[#This Row],[Life (yr)]]*Power1[[#This Row],[Use (hr/yr)]]/1000)^VLOOKUP(Power1[[#This Row],[ASABEtype]],ASABECoefficients[],3))/Power1[[#This Row],[Life (yr)]]/Power1[[#This Row],[Use (hr/yr)]]</f>
        <v>8.7333333333333343</v>
      </c>
      <c r="BB12" s="95">
        <f>Power1[[#This Row],[Fuel (gal/hph)]]*Power1[[#This Row],[HP]]*(1+$BR$11)</f>
        <v>9.68</v>
      </c>
      <c r="BC12" s="93">
        <f t="shared" si="4"/>
        <v>49.122712906015266</v>
      </c>
      <c r="BE12" s="67" t="s">
        <v>556</v>
      </c>
      <c r="BF12" s="97">
        <v>0.14000000000000001</v>
      </c>
      <c r="BG12" s="97">
        <v>2.2999999999999998</v>
      </c>
      <c r="BH12" s="97">
        <v>2000</v>
      </c>
      <c r="BI12" s="97">
        <v>1.054</v>
      </c>
      <c r="BJ12" s="97">
        <v>0.1865</v>
      </c>
      <c r="BK12" s="97">
        <v>6.7999999999999996E-3</v>
      </c>
      <c r="BL12" s="97">
        <v>2.8E-3</v>
      </c>
      <c r="BM12" s="64">
        <f t="shared" si="5"/>
        <v>7.1740899999999993E-3</v>
      </c>
      <c r="BN12" s="97">
        <v>8.4699999999999998E-2</v>
      </c>
      <c r="BO12" s="98"/>
      <c r="BQ12" s="67" t="s">
        <v>806</v>
      </c>
      <c r="BR12" s="108">
        <f>3.75*0.15*126.3/73.3</f>
        <v>0.96921896316507516</v>
      </c>
    </row>
    <row r="13" spans="1:70">
      <c r="B13" s="275" t="s">
        <v>692</v>
      </c>
      <c r="C13" s="275" t="s">
        <v>679</v>
      </c>
      <c r="D13" s="277">
        <f>IF(ISBLANK(C13),"",VLOOKUP(C13,Power1[],17,FALSE)*VLOOKUP(B13,Implements7[],23,FALSE))</f>
        <v>0.67189903846153842</v>
      </c>
      <c r="E13" s="277">
        <f>IF(ISBLANK(B13),"",VLOOKUP(B13,Implements7[],23,FALSE)*VLOOKUP(B13,Implements7[],16,FALSE))</f>
        <v>0.13882211538461536</v>
      </c>
      <c r="F13" s="124">
        <f>IFERROR(IF(ISBLANK(C13),"",D13*$BR$10+E13*$BR$6+VLOOKUP(C13,Power1[],16,FALSE)*VLOOKUP(B13,Implements7[],23,FALSE))+VLOOKUP(B13,Implements7[],22,FALSE),"")</f>
        <v>6.5184034455128197</v>
      </c>
      <c r="G13" s="277">
        <f>IF(ISBLANK(B13),"",VLOOKUP(B13,Implements7[],24,FALSE)+VLOOKUP(C13,Power1[],18,FALSE)*VLOOKUP(B13,Implements7[],23,FALSE))</f>
        <v>10.145717389525025</v>
      </c>
      <c r="H13" s="283">
        <v>2</v>
      </c>
      <c r="I13" s="124">
        <f t="shared" si="7"/>
        <v>33.328241670075691</v>
      </c>
      <c r="J13" s="124"/>
      <c r="K13" s="59" t="str">
        <f>Implements7[[#This Row],[Implement type]]&amp;", "&amp;Implements7[[#This Row],[Width]]&amp;" "&amp;Implements7[[#This Row],[Width Unit]]</f>
        <v>Tandem disk, 21 Ft Folding</v>
      </c>
      <c r="L13" s="105" t="s">
        <v>564</v>
      </c>
      <c r="M13" s="76">
        <v>21</v>
      </c>
      <c r="N13" s="75" t="str">
        <f t="shared" si="6"/>
        <v>Ft Folding</v>
      </c>
      <c r="O13" s="76"/>
      <c r="P13" s="76"/>
      <c r="Q13" s="77">
        <v>85500</v>
      </c>
      <c r="R13" s="78">
        <v>0.1</v>
      </c>
      <c r="S13" s="79">
        <f t="shared" si="0"/>
        <v>95000</v>
      </c>
      <c r="T13" s="76">
        <v>12</v>
      </c>
      <c r="U13" s="76">
        <v>100</v>
      </c>
      <c r="V13" s="80">
        <f t="shared" si="1"/>
        <v>1221.818181818182</v>
      </c>
      <c r="W13" s="76" t="s">
        <v>545</v>
      </c>
      <c r="X13" s="76">
        <v>6</v>
      </c>
      <c r="Y13" s="78">
        <v>0.8</v>
      </c>
      <c r="Z13" s="78">
        <v>1.02</v>
      </c>
      <c r="AA13" s="76">
        <v>260</v>
      </c>
      <c r="AB13" s="99">
        <f>(VLOOKUP(Implements7[[#This Row],[ASABEtype]],ASABECoefficients[],5)-VLOOKUP(Implements7[[#This Row],[ASABEtype]],ASABECoefficients[],6)*Implements7[[#This Row],[Life (yr)]]^0.5-VLOOKUP(Implements7[[#This Row],[ASABEtype]],ASABECoefficients[],7)*Implements7[[#This Row],[Use (hr/yr)]]^0.5+VLOOKUP(Implements7[[#This Row],[ASABEtype]],ASABECoefficients[],8)*$BR$17)^2+0.25*VLOOKUP(Implements7[[#This Row],[ASABEtype]],ASABECoefficients[],9)</f>
        <v>0.34143443659524941</v>
      </c>
      <c r="AC13" s="100">
        <f>Implements7[[#This Row],[TradeIn%]]*Implements7[[#This Row],[PriceL]]</f>
        <v>32436.271476548693</v>
      </c>
      <c r="AD13" s="101">
        <f>(Implements7[[#This Row],[PriceP]]-Implements7[[#This Row],[TradeIn$]])/Implements7[[#This Row],[Life (yr)]]/Implements7[[#This Row],[Use (ac/yr)]]</f>
        <v>3.619177912685791</v>
      </c>
      <c r="AE13" s="84">
        <f>((Implements7[[#This Row],[PriceP]]+Implements7[[#This Row],[TradeIn$]])/2*($BR$7+$BR$8+$BR$9)+Implements7[[#This Row],[Shed (ft^2)]]*$BR$12)/Implements7[[#This Row],[Use (ac/yr)]]</f>
        <v>3.2709232922497571</v>
      </c>
      <c r="AF13" s="102">
        <f>Implements7[[#This Row],[PriceL]]*(VLOOKUP(Implements7[[#This Row],[ASABEtype]],ASABECoefficients[],2)*(Implements7[[#This Row],[Life (yr)]]*Implements7[[#This Row],[Use (hr/yr)]]/1000)^VLOOKUP(Implements7[[#This Row],[ASABEtype]],ASABECoefficients[],3))/Implements7[[#This Row],[Life (yr)]]/Implements7[[#This Row],[Use (ac/yr)]]</f>
        <v>1.5900705685350511</v>
      </c>
      <c r="AG13" s="61">
        <f>$BR$18/(Implements7[[#This Row],[Width]]*Implements7[[#This Row],[Speed]]*Implements7[[#This Row],[Efficiency]])</f>
        <v>8.1845238095238082E-2</v>
      </c>
      <c r="AH13" s="86">
        <f>SUM(Implements7[[#This Row],[Depr ($/ac)]:[OH (interest, insurance, taxes, housing) ($/ac)]])</f>
        <v>6.8901012049355481</v>
      </c>
      <c r="AI13" s="87">
        <v>11</v>
      </c>
      <c r="AJ13" s="59" t="s">
        <v>736</v>
      </c>
      <c r="AK13" s="86"/>
      <c r="AL13" s="88" t="str">
        <f t="shared" si="2"/>
        <v>225 HP MFWD</v>
      </c>
      <c r="AM13" s="89">
        <v>225</v>
      </c>
      <c r="AN13" s="76" t="s">
        <v>546</v>
      </c>
      <c r="AO13" s="77">
        <v>280000</v>
      </c>
      <c r="AP13" s="78">
        <v>0.1</v>
      </c>
      <c r="AQ13" s="134">
        <f t="shared" si="3"/>
        <v>311111.11111111112</v>
      </c>
      <c r="AR13" s="76">
        <v>12</v>
      </c>
      <c r="AS13" s="76">
        <v>400</v>
      </c>
      <c r="AT13" s="76">
        <v>4.3999999999999997E-2</v>
      </c>
      <c r="AU13" s="76" t="s">
        <v>547</v>
      </c>
      <c r="AV13" s="76">
        <v>250</v>
      </c>
      <c r="AW13" s="90">
        <f>(VLOOKUP(Power1[[#This Row],[ASABEtype]],ASABECoefficients[],5)-VLOOKUP(Power1[[#This Row],[ASABEtype]],ASABECoefficients[],6)*Power1[[#This Row],[Life (yr)]]^0.5-VLOOKUP(Power1[[#This Row],[ASABEtype]],ASABECoefficients[],7)*Power1[[#This Row],[Use (hr/yr)]]^0.5+VLOOKUP(Power1[[#This Row],[ASABEtype]],ASABECoefficients[],8)*$BR$17)^2+0.25*VLOOKUP(Power1[[#This Row],[ASABEtype]],ASABECoefficients[],9)</f>
        <v>0.39585537028502493</v>
      </c>
      <c r="AX13" s="91">
        <f>Power1[[#This Row],[TradeIn%]]*Power1[[#This Row],[PriceL]]</f>
        <v>123155.00408867442</v>
      </c>
      <c r="AY13" s="93">
        <f>(Power1[[#This Row],[PriceP]]-Power1[[#This Row],[TradeIn$]])/Power1[[#This Row],[Life (yr)]]/Power1[[#This Row],[Use (hr/yr)]]</f>
        <v>32.676040814859491</v>
      </c>
      <c r="AZ13" s="93">
        <f>((Power1[[#This Row],[PriceP]]+Power1[[#This Row],[TradeIn$]])/2*($BR$7+$BR$8+$BR$9)+Power1[[#This Row],[Shed (ft^2)]]*$BR$12)/Power1[[#This Row],[Use (hr/yr)]]</f>
        <v>32.606190301516705</v>
      </c>
      <c r="BA13" s="96">
        <f>Power1[[#This Row],[PriceL]]*(VLOOKUP(Power1[[#This Row],[ASABEtype]],ASABECoefficients[],2)*(Power1[[#This Row],[Life (yr)]]*Power1[[#This Row],[Use (hr/yr)]]/1000)^VLOOKUP(Power1[[#This Row],[ASABEtype]],ASABECoefficients[],3))/Power1[[#This Row],[Life (yr)]]/Power1[[#This Row],[Use (hr/yr)]]</f>
        <v>7.4666666666666659</v>
      </c>
      <c r="BB13" s="95">
        <f>Power1[[#This Row],[Fuel (gal/hph)]]*Power1[[#This Row],[HP]]*(1+$BR$11)</f>
        <v>10.889999999999999</v>
      </c>
      <c r="BC13" s="93">
        <f t="shared" si="4"/>
        <v>65.282231116376195</v>
      </c>
      <c r="BE13" s="67" t="s">
        <v>559</v>
      </c>
      <c r="BF13" s="97">
        <v>0.11</v>
      </c>
      <c r="BG13" s="97">
        <v>1.8</v>
      </c>
      <c r="BH13" s="97">
        <v>3000</v>
      </c>
      <c r="BI13" s="97">
        <v>1.054</v>
      </c>
      <c r="BJ13" s="97">
        <v>0.1865</v>
      </c>
      <c r="BK13" s="97">
        <v>6.7999999999999996E-3</v>
      </c>
      <c r="BL13" s="97">
        <v>2.8E-3</v>
      </c>
      <c r="BM13" s="64">
        <f t="shared" si="5"/>
        <v>7.1740899999999993E-3</v>
      </c>
      <c r="BN13" s="97">
        <v>8.4699999999999998E-2</v>
      </c>
      <c r="BO13" s="98"/>
      <c r="BQ13" s="64" t="s">
        <v>560</v>
      </c>
      <c r="BR13" s="109">
        <v>0</v>
      </c>
    </row>
    <row r="14" spans="1:70" ht="15.75">
      <c r="B14" s="275" t="s">
        <v>710</v>
      </c>
      <c r="C14" s="275" t="s">
        <v>724</v>
      </c>
      <c r="D14" s="277">
        <f>IF(ISBLANK(C14),"",VLOOKUP(C14,Power1[],17,FALSE)*VLOOKUP(B14,Implements7[],23,FALSE))</f>
        <v>0.23396484374999998</v>
      </c>
      <c r="E14" s="277">
        <f>IF(ISBLANK(B14),"",VLOOKUP(B14,Implements7[],23,FALSE)*VLOOKUP(B14,Implements7[],16,FALSE))</f>
        <v>6.5742187500000007E-2</v>
      </c>
      <c r="F14" s="124">
        <f>IFERROR(IF(ISBLANK(C14),"",D14*$BR$10+E14*$BR$6+VLOOKUP(C14,Power1[],16,FALSE)*VLOOKUP(B14,Implements7[],23,FALSE))+VLOOKUP(B14,Implements7[],22,FALSE),"")</f>
        <v>2.3501172393831915</v>
      </c>
      <c r="G14" s="277">
        <f>IF(ISBLANK(B14),"",VLOOKUP(B14,Implements7[],24,FALSE)+VLOOKUP(C14,Power1[],18,FALSE)*VLOOKUP(B14,Implements7[],23,FALSE))</f>
        <v>1.780662339858796</v>
      </c>
      <c r="H14" s="283">
        <v>2</v>
      </c>
      <c r="I14" s="124">
        <f t="shared" si="7"/>
        <v>8.2615591584839745</v>
      </c>
      <c r="J14" s="124"/>
      <c r="K14" s="59" t="str">
        <f>Implements7[[#This Row],[Implement type]]&amp;", "&amp;Implements7[[#This Row],[Width]]&amp;" "&amp;Implements7[[#This Row],[Width Unit]]</f>
        <v>Tandem disk, 30 Ft Folding</v>
      </c>
      <c r="L14" s="105" t="s">
        <v>564</v>
      </c>
      <c r="M14" s="76">
        <v>30</v>
      </c>
      <c r="N14" s="75" t="str">
        <f t="shared" si="6"/>
        <v>Ft Folding</v>
      </c>
      <c r="O14" s="76"/>
      <c r="P14" s="76"/>
      <c r="Q14" s="77">
        <v>123500</v>
      </c>
      <c r="R14" s="78">
        <v>0.1</v>
      </c>
      <c r="S14" s="79">
        <f t="shared" si="0"/>
        <v>137222.22222222222</v>
      </c>
      <c r="T14" s="76">
        <v>12</v>
      </c>
      <c r="U14" s="76">
        <v>100</v>
      </c>
      <c r="V14" s="80">
        <f t="shared" si="1"/>
        <v>1745.4545454545455</v>
      </c>
      <c r="W14" s="76" t="s">
        <v>535</v>
      </c>
      <c r="X14" s="76">
        <v>6</v>
      </c>
      <c r="Y14" s="78">
        <v>0.8</v>
      </c>
      <c r="Z14" s="78">
        <v>1.02</v>
      </c>
      <c r="AA14" s="76">
        <v>280</v>
      </c>
      <c r="AB14" s="99">
        <f>(VLOOKUP(Implements7[[#This Row],[ASABEtype]],ASABECoefficients[],5)-VLOOKUP(Implements7[[#This Row],[ASABEtype]],ASABECoefficients[],6)*Implements7[[#This Row],[Life (yr)]]^0.5-VLOOKUP(Implements7[[#This Row],[ASABEtype]],ASABECoefficients[],7)*Implements7[[#This Row],[Use (hr/yr)]]^0.5+VLOOKUP(Implements7[[#This Row],[ASABEtype]],ASABECoefficients[],8)*$BR$17)^2+0.25*VLOOKUP(Implements7[[#This Row],[ASABEtype]],ASABECoefficients[],9)</f>
        <v>0.30248724410907551</v>
      </c>
      <c r="AC14" s="100">
        <f>Implements7[[#This Row],[TradeIn%]]*Implements7[[#This Row],[PriceL]]</f>
        <v>41507.971830523136</v>
      </c>
      <c r="AD14" s="101">
        <f>(Implements7[[#This Row],[PriceP]]-Implements7[[#This Row],[TradeIn$]])/Implements7[[#This Row],[Life (yr)]]/Implements7[[#This Row],[Use (ac/yr)]]</f>
        <v>3.9145499560080097</v>
      </c>
      <c r="AE14" s="84">
        <f>((Implements7[[#This Row],[PriceP]]+Implements7[[#This Row],[TradeIn$]])/2*($BR$7+$BR$8+$BR$9)+Implements7[[#This Row],[Shed (ft^2)]]*$BR$12)/Implements7[[#This Row],[Use (ac/yr)]]</f>
        <v>3.1569910712686795</v>
      </c>
      <c r="AF14" s="102">
        <f>Implements7[[#This Row],[PriceL]]*(VLOOKUP(Implements7[[#This Row],[ASABEtype]],ASABECoefficients[],2)*(Implements7[[#This Row],[Life (yr)]]*Implements7[[#This Row],[Use (hr/yr)]]/1000)^VLOOKUP(Implements7[[#This Row],[ASABEtype]],ASABECoefficients[],3))/Implements7[[#This Row],[Life (yr)]]/Implements7[[#This Row],[Use (ac/yr)]]</f>
        <v>2.3678077318403421</v>
      </c>
      <c r="AG14" s="61">
        <f>$BR$18/(Implements7[[#This Row],[Width]]*Implements7[[#This Row],[Speed]]*Implements7[[#This Row],[Efficiency]])</f>
        <v>5.7291666666666664E-2</v>
      </c>
      <c r="AH14" s="86">
        <f>SUM(Implements7[[#This Row],[Depr ($/ac)]:[OH (interest, insurance, taxes, housing) ($/ac)]])</f>
        <v>7.0715410272766892</v>
      </c>
      <c r="AI14" s="87">
        <v>12</v>
      </c>
      <c r="AJ14" s="59" t="s">
        <v>736</v>
      </c>
      <c r="AK14" s="86"/>
      <c r="AL14" s="88" t="str">
        <f t="shared" si="2"/>
        <v>260 HP MFWD</v>
      </c>
      <c r="AM14" s="89">
        <v>260</v>
      </c>
      <c r="AN14" s="76" t="s">
        <v>546</v>
      </c>
      <c r="AO14" s="77">
        <v>390000</v>
      </c>
      <c r="AP14" s="78">
        <v>0.1</v>
      </c>
      <c r="AQ14" s="134">
        <f t="shared" si="3"/>
        <v>433333.33333333331</v>
      </c>
      <c r="AR14" s="76">
        <v>12</v>
      </c>
      <c r="AS14" s="76">
        <v>400</v>
      </c>
      <c r="AT14" s="76">
        <v>4.3999999999999997E-2</v>
      </c>
      <c r="AU14" s="76" t="s">
        <v>547</v>
      </c>
      <c r="AV14" s="76">
        <v>250</v>
      </c>
      <c r="AW14" s="90">
        <f>(VLOOKUP(Power1[[#This Row],[ASABEtype]],ASABECoefficients[],5)-VLOOKUP(Power1[[#This Row],[ASABEtype]],ASABECoefficients[],6)*Power1[[#This Row],[Life (yr)]]^0.5-VLOOKUP(Power1[[#This Row],[ASABEtype]],ASABECoefficients[],7)*Power1[[#This Row],[Use (hr/yr)]]^0.5+VLOOKUP(Power1[[#This Row],[ASABEtype]],ASABECoefficients[],8)*$BR$17)^2+0.25*VLOOKUP(Power1[[#This Row],[ASABEtype]],ASABECoefficients[],9)</f>
        <v>0.39585537028502493</v>
      </c>
      <c r="AX14" s="91">
        <f>Power1[[#This Row],[TradeIn%]]*Power1[[#This Row],[PriceL]]</f>
        <v>171537.3271235108</v>
      </c>
      <c r="AY14" s="93">
        <f>(Power1[[#This Row],[PriceP]]-Power1[[#This Row],[TradeIn$]])/Power1[[#This Row],[Life (yr)]]/Power1[[#This Row],[Use (hr/yr)]]</f>
        <v>45.513056849268587</v>
      </c>
      <c r="AZ14" s="93">
        <f>((Power1[[#This Row],[PriceP]]+Power1[[#This Row],[TradeIn$]])/2*($BR$7+$BR$8+$BR$9)+Power1[[#This Row],[Shed (ft^2)]]*$BR$12)/Power1[[#This Row],[Use (hr/yr)]]</f>
        <v>45.177787192406839</v>
      </c>
      <c r="BA14" s="96">
        <f>Power1[[#This Row],[PriceL]]*(VLOOKUP(Power1[[#This Row],[ASABEtype]],ASABECoefficients[],2)*(Power1[[#This Row],[Life (yr)]]*Power1[[#This Row],[Use (hr/yr)]]/1000)^VLOOKUP(Power1[[#This Row],[ASABEtype]],ASABECoefficients[],3))/Power1[[#This Row],[Life (yr)]]/Power1[[#This Row],[Use (hr/yr)]]</f>
        <v>10.4</v>
      </c>
      <c r="BB14" s="95">
        <f>Power1[[#This Row],[Fuel (gal/hph)]]*Power1[[#This Row],[HP]]*(1+$BR$11)</f>
        <v>12.584</v>
      </c>
      <c r="BC14" s="93">
        <f t="shared" si="4"/>
        <v>90.690844041675433</v>
      </c>
      <c r="BE14" s="67" t="s">
        <v>562</v>
      </c>
      <c r="BF14" s="97">
        <v>0.63</v>
      </c>
      <c r="BG14" s="97">
        <v>1.3</v>
      </c>
      <c r="BH14" s="97">
        <v>1200</v>
      </c>
      <c r="BI14" s="97">
        <v>0.86350000000000005</v>
      </c>
      <c r="BJ14" s="97">
        <v>0.1288</v>
      </c>
      <c r="BK14" s="97">
        <v>0</v>
      </c>
      <c r="BL14" s="97">
        <v>1.6999999999999999E-3</v>
      </c>
      <c r="BM14" s="64">
        <f t="shared" si="5"/>
        <v>2.4617610000000005E-2</v>
      </c>
      <c r="BN14" s="97">
        <v>0.15690000000000001</v>
      </c>
      <c r="BO14" s="98"/>
      <c r="BQ14" s="64" t="s">
        <v>807</v>
      </c>
      <c r="BR14" s="110">
        <v>136.9</v>
      </c>
    </row>
    <row r="15" spans="1:70" ht="15.75">
      <c r="B15" s="275" t="s">
        <v>711</v>
      </c>
      <c r="C15" s="275" t="s">
        <v>679</v>
      </c>
      <c r="D15" s="277">
        <f>IF(ISBLANK(C15),"",VLOOKUP(C15,Power1[],17,FALSE)*VLOOKUP(B15,Implements7[],23,FALSE))</f>
        <v>0.69877500000000015</v>
      </c>
      <c r="E15" s="277">
        <f>IF(ISBLANK(B15),"",VLOOKUP(B15,Implements7[],23,FALSE)*VLOOKUP(B15,Implements7[],16,FALSE))</f>
        <v>0.15262500000000004</v>
      </c>
      <c r="F15" s="124">
        <f>IFERROR(IF(ISBLANK(C15),"",D15*$BR$10+E15*$BR$6+VLOOKUP(C15,Power1[],16,FALSE)*VLOOKUP(B15,Implements7[],23,FALSE))+VLOOKUP(B15,Implements7[],22,FALSE),"")</f>
        <v>8.3673663522456376</v>
      </c>
      <c r="G15" s="277">
        <f>IF(ISBLANK(B15),"",VLOOKUP(B15,Implements7[],24,FALSE)+VLOOKUP(C15,Power1[],18,FALSE)*VLOOKUP(B15,Implements7[],23,FALSE))</f>
        <v>5.2140121410029261</v>
      </c>
      <c r="H15" s="283">
        <v>2</v>
      </c>
      <c r="I15" s="124">
        <f t="shared" si="7"/>
        <v>27.162756986497129</v>
      </c>
      <c r="J15" s="124"/>
      <c r="K15" s="59" t="str">
        <f>Implements7[[#This Row],[Implement type]]&amp;", "&amp;Implements7[[#This Row],[Width]]&amp;" "&amp;Implements7[[#This Row],[Width Unit]]</f>
        <v>Forage harvester, pull-type w/corn head, 7.5 Ft</v>
      </c>
      <c r="L15" s="75" t="s">
        <v>611</v>
      </c>
      <c r="M15" s="76">
        <v>7.5</v>
      </c>
      <c r="N15" s="75" t="s">
        <v>536</v>
      </c>
      <c r="O15" s="76">
        <v>3</v>
      </c>
      <c r="P15" s="75" t="s">
        <v>569</v>
      </c>
      <c r="Q15" s="77">
        <v>94500</v>
      </c>
      <c r="R15" s="78">
        <v>0.1</v>
      </c>
      <c r="S15" s="79">
        <f t="shared" si="0"/>
        <v>105000</v>
      </c>
      <c r="T15" s="76">
        <v>12</v>
      </c>
      <c r="U15" s="76">
        <v>200</v>
      </c>
      <c r="V15" s="80">
        <f t="shared" si="1"/>
        <v>413.63636363636363</v>
      </c>
      <c r="W15" s="76" t="s">
        <v>612</v>
      </c>
      <c r="X15" s="76">
        <v>3.5</v>
      </c>
      <c r="Y15" s="78">
        <v>0.65</v>
      </c>
      <c r="Z15" s="78">
        <v>1.1100000000000001</v>
      </c>
      <c r="AA15" s="76">
        <v>140</v>
      </c>
      <c r="AB15" s="99">
        <f>(VLOOKUP(Implements7[[#This Row],[ASABEtype]],ASABECoefficients[],5)-VLOOKUP(Implements7[[#This Row],[ASABEtype]],ASABECoefficients[],6)*Implements7[[#This Row],[Life (yr)]]^0.5-VLOOKUP(Implements7[[#This Row],[ASABEtype]],ASABECoefficients[],7)*Implements7[[#This Row],[Use (hr/yr)]]^0.5+VLOOKUP(Implements7[[#This Row],[ASABEtype]],ASABECoefficients[],8)*$BR$17)^2+0.25*VLOOKUP(Implements7[[#This Row],[ASABEtype]],ASABECoefficients[],9)</f>
        <v>0.58537933558730071</v>
      </c>
      <c r="AC15" s="100">
        <f>Implements7[[#This Row],[TradeIn%]]*Implements7[[#This Row],[PriceL]]</f>
        <v>61464.830236666574</v>
      </c>
      <c r="AD15" s="101">
        <f>(Implements7[[#This Row],[PriceP]]-Implements7[[#This Row],[TradeIn$]])/Implements7[[#This Row],[Life (yr)]]/Implements7[[#This Row],[Use (ac/yr)]]</f>
        <v>6.6554371318071013</v>
      </c>
      <c r="AE15" s="84">
        <f>((Implements7[[#This Row],[PriceP]]+Implements7[[#This Row],[TradeIn$]])/2*($BR$7+$BR$8+$BR$9)+Implements7[[#This Row],[Shed (ft^2)]]*$BR$12)/Implements7[[#This Row],[Use (ac/yr)]]</f>
        <v>12.299629486468135</v>
      </c>
      <c r="AF15" s="102">
        <f>Implements7[[#This Row],[PriceL]]*(VLOOKUP(Implements7[[#This Row],[ASABEtype]],ASABECoefficients[],2)*(Implements7[[#This Row],[Life (yr)]]*Implements7[[#This Row],[Use (hr/yr)]]/1000)^VLOOKUP(Implements7[[#This Row],[ASABEtype]],ASABECoefficients[],3))/Implements7[[#This Row],[Life (yr)]]/Implements7[[#This Row],[Use (ac/yr)]]</f>
        <v>12.877115388658057</v>
      </c>
      <c r="AG15" s="61">
        <f>$BR$18/(Implements7[[#This Row],[Width]]*Implements7[[#This Row],[Speed]]*Implements7[[#This Row],[Efficiency]])</f>
        <v>0.48351648351648352</v>
      </c>
      <c r="AH15" s="86">
        <f>SUM(Implements7[[#This Row],[Depr ($/ac)]:[OH (interest, insurance, taxes, housing) ($/ac)]])</f>
        <v>18.955066618275236</v>
      </c>
      <c r="AI15" s="87">
        <v>37</v>
      </c>
      <c r="AJ15" s="59" t="s">
        <v>734</v>
      </c>
      <c r="AK15" s="86"/>
      <c r="AL15" s="88" t="str">
        <f t="shared" si="2"/>
        <v>310 HP 4WD</v>
      </c>
      <c r="AM15" s="89">
        <v>310</v>
      </c>
      <c r="AN15" s="76" t="s">
        <v>563</v>
      </c>
      <c r="AO15" s="77">
        <v>410000</v>
      </c>
      <c r="AP15" s="78">
        <v>0.1</v>
      </c>
      <c r="AQ15" s="134">
        <f t="shared" si="3"/>
        <v>455555.55555555556</v>
      </c>
      <c r="AR15" s="76">
        <v>12</v>
      </c>
      <c r="AS15" s="76">
        <v>400</v>
      </c>
      <c r="AT15" s="76">
        <v>4.3999999999999997E-2</v>
      </c>
      <c r="AU15" s="76" t="s">
        <v>561</v>
      </c>
      <c r="AV15" s="76">
        <v>250</v>
      </c>
      <c r="AW15" s="90">
        <f>(VLOOKUP(Power1[[#This Row],[ASABEtype]],ASABECoefficients[],5)-VLOOKUP(Power1[[#This Row],[ASABEtype]],ASABECoefficients[],6)*Power1[[#This Row],[Life (yr)]]^0.5-VLOOKUP(Power1[[#This Row],[ASABEtype]],ASABECoefficients[],7)*Power1[[#This Row],[Use (hr/yr)]]^0.5+VLOOKUP(Power1[[#This Row],[ASABEtype]],ASABECoefficients[],8)*$BR$17)^2+0.25*VLOOKUP(Power1[[#This Row],[ASABEtype]],ASABECoefficients[],9)</f>
        <v>0.39585537028502493</v>
      </c>
      <c r="AX15" s="91">
        <f>Power1[[#This Row],[TradeIn%]]*Power1[[#This Row],[PriceL]]</f>
        <v>180334.11312984469</v>
      </c>
      <c r="AY15" s="93">
        <f>(Power1[[#This Row],[PriceP]]-Power1[[#This Row],[TradeIn$]])/Power1[[#This Row],[Life (yr)]]/Power1[[#This Row],[Use (hr/yr)]]</f>
        <v>47.847059764615686</v>
      </c>
      <c r="AZ15" s="93">
        <f>((Power1[[#This Row],[PriceP]]+Power1[[#This Row],[TradeIn$]])/2*($BR$7+$BR$8+$BR$9)+Power1[[#This Row],[Shed (ft^2)]]*$BR$12)/Power1[[#This Row],[Use (hr/yr)]]</f>
        <v>47.463532081659586</v>
      </c>
      <c r="BA15" s="96">
        <f>Power1[[#This Row],[PriceL]]*(VLOOKUP(Power1[[#This Row],[ASABEtype]],ASABECoefficients[],2)*(Power1[[#This Row],[Life (yr)]]*Power1[[#This Row],[Use (hr/yr)]]/1000)^VLOOKUP(Power1[[#This Row],[ASABEtype]],ASABECoefficients[],3))/Power1[[#This Row],[Life (yr)]]/Power1[[#This Row],[Use (hr/yr)]]</f>
        <v>6.56</v>
      </c>
      <c r="BB15" s="95">
        <f>Power1[[#This Row],[Fuel (gal/hph)]]*Power1[[#This Row],[HP]]*(1+$BR$11)</f>
        <v>15.004</v>
      </c>
      <c r="BC15" s="93">
        <f t="shared" si="4"/>
        <v>95.310591846275273</v>
      </c>
      <c r="BE15" s="67" t="s">
        <v>558</v>
      </c>
      <c r="BF15" s="97">
        <v>0.27</v>
      </c>
      <c r="BG15" s="97">
        <v>1.4</v>
      </c>
      <c r="BH15" s="97">
        <v>2000</v>
      </c>
      <c r="BI15" s="97">
        <v>0.69269999999999998</v>
      </c>
      <c r="BJ15" s="97">
        <v>7.0300000000000001E-2</v>
      </c>
      <c r="BK15" s="97">
        <v>0</v>
      </c>
      <c r="BL15" s="97">
        <v>1.1999999999999999E-3</v>
      </c>
      <c r="BM15" s="64">
        <f t="shared" si="5"/>
        <v>1.4957290000000002E-2</v>
      </c>
      <c r="BN15" s="97">
        <v>0.12230000000000001</v>
      </c>
      <c r="BO15" s="98"/>
      <c r="BQ15" s="59" t="s">
        <v>812</v>
      </c>
      <c r="BR15" s="111">
        <v>129.5</v>
      </c>
    </row>
    <row r="16" spans="1:70">
      <c r="B16" s="279" t="s">
        <v>403</v>
      </c>
      <c r="C16" s="279"/>
      <c r="D16" s="280"/>
      <c r="E16" s="280"/>
      <c r="F16" s="284">
        <v>7</v>
      </c>
      <c r="G16" s="285">
        <v>7</v>
      </c>
      <c r="H16" s="280"/>
      <c r="I16" s="281">
        <f>SUM(F16+G16)</f>
        <v>14</v>
      </c>
      <c r="J16" s="124"/>
      <c r="K16" s="59" t="str">
        <f>Implements7[[#This Row],[Implement type]]&amp;", "&amp;Implements7[[#This Row],[Width]]&amp;" "&amp;Implements7[[#This Row],[Width Unit]]</f>
        <v>Forage harvester, pull-type w/pickup head, 12 Ft</v>
      </c>
      <c r="L16" s="75" t="s">
        <v>614</v>
      </c>
      <c r="M16" s="76">
        <v>12</v>
      </c>
      <c r="N16" s="75" t="s">
        <v>536</v>
      </c>
      <c r="O16" s="76"/>
      <c r="P16" s="75"/>
      <c r="Q16" s="77">
        <v>83000</v>
      </c>
      <c r="R16" s="78">
        <v>0.1</v>
      </c>
      <c r="S16" s="79">
        <f t="shared" si="0"/>
        <v>92222.222222222219</v>
      </c>
      <c r="T16" s="76">
        <v>12</v>
      </c>
      <c r="U16" s="76">
        <v>200</v>
      </c>
      <c r="V16" s="80">
        <f t="shared" si="1"/>
        <v>661.81818181818187</v>
      </c>
      <c r="W16" s="76" t="s">
        <v>612</v>
      </c>
      <c r="X16" s="76">
        <v>3.5</v>
      </c>
      <c r="Y16" s="78">
        <v>0.65</v>
      </c>
      <c r="Z16" s="78">
        <v>1.1100000000000001</v>
      </c>
      <c r="AA16" s="76">
        <v>140</v>
      </c>
      <c r="AB16" s="99">
        <f>(VLOOKUP(Implements7[[#This Row],[ASABEtype]],ASABECoefficients[],5)-VLOOKUP(Implements7[[#This Row],[ASABEtype]],ASABECoefficients[],6)*Implements7[[#This Row],[Life (yr)]]^0.5-VLOOKUP(Implements7[[#This Row],[ASABEtype]],ASABECoefficients[],7)*Implements7[[#This Row],[Use (hr/yr)]]^0.5+VLOOKUP(Implements7[[#This Row],[ASABEtype]],ASABECoefficients[],8)*$BR$17)^2+0.25*VLOOKUP(Implements7[[#This Row],[ASABEtype]],ASABECoefficients[],9)</f>
        <v>0.58537933558730071</v>
      </c>
      <c r="AC16" s="100">
        <f>Implements7[[#This Row],[TradeIn%]]*Implements7[[#This Row],[PriceL]]</f>
        <v>53984.98317082884</v>
      </c>
      <c r="AD16" s="101">
        <f>(Implements7[[#This Row],[PriceP]]-Implements7[[#This Row],[TradeIn$]])/Implements7[[#This Row],[Life (yr)]]/Implements7[[#This Row],[Use (ac/yr)]]</f>
        <v>3.6534476318782367</v>
      </c>
      <c r="AE16" s="84">
        <f>((Implements7[[#This Row],[PriceP]]+Implements7[[#This Row],[TradeIn$]])/2*($BR$7+$BR$8+$BR$9)+Implements7[[#This Row],[Shed (ft^2)]]*$BR$12)/Implements7[[#This Row],[Use (ac/yr)]]</f>
        <v>6.7767311230338168</v>
      </c>
      <c r="AF16" s="102">
        <f>Implements7[[#This Row],[PriceL]]*(VLOOKUP(Implements7[[#This Row],[ASABEtype]],ASABECoefficients[],2)*(Implements7[[#This Row],[Life (yr)]]*Implements7[[#This Row],[Use (hr/yr)]]/1000)^VLOOKUP(Implements7[[#This Row],[ASABEtype]],ASABECoefficients[],3))/Implements7[[#This Row],[Life (yr)]]/Implements7[[#This Row],[Use (ac/yr)]]</f>
        <v>7.0687868866310763</v>
      </c>
      <c r="AG16" s="61">
        <f>$BR$18/(Implements7[[#This Row],[Width]]*Implements7[[#This Row],[Speed]]*Implements7[[#This Row],[Efficiency]])</f>
        <v>0.30219780219780218</v>
      </c>
      <c r="AH16" s="86">
        <f>SUM(Implements7[[#This Row],[Depr ($/ac)]:[OH (interest, insurance, taxes, housing) ($/ac)]])</f>
        <v>10.430178754912053</v>
      </c>
      <c r="AI16" s="87">
        <v>38</v>
      </c>
      <c r="AJ16" s="59" t="s">
        <v>734</v>
      </c>
      <c r="AK16" s="86"/>
      <c r="AL16" s="88" t="str">
        <f t="shared" si="2"/>
        <v>360 HP 4WD</v>
      </c>
      <c r="AM16" s="89">
        <v>360</v>
      </c>
      <c r="AN16" s="76" t="s">
        <v>563</v>
      </c>
      <c r="AO16" s="77">
        <v>437000</v>
      </c>
      <c r="AP16" s="78">
        <v>0.1</v>
      </c>
      <c r="AQ16" s="134">
        <f t="shared" si="3"/>
        <v>485555.55555555556</v>
      </c>
      <c r="AR16" s="76">
        <v>12</v>
      </c>
      <c r="AS16" s="76">
        <v>400</v>
      </c>
      <c r="AT16" s="76">
        <v>4.3999999999999997E-2</v>
      </c>
      <c r="AU16" s="76" t="s">
        <v>561</v>
      </c>
      <c r="AV16" s="76">
        <v>250</v>
      </c>
      <c r="AW16" s="90">
        <f>(VLOOKUP(Power1[[#This Row],[ASABEtype]],ASABECoefficients[],5)-VLOOKUP(Power1[[#This Row],[ASABEtype]],ASABECoefficients[],6)*Power1[[#This Row],[Life (yr)]]^0.5-VLOOKUP(Power1[[#This Row],[ASABEtype]],ASABECoefficients[],7)*Power1[[#This Row],[Use (hr/yr)]]^0.5+VLOOKUP(Power1[[#This Row],[ASABEtype]],ASABECoefficients[],8)*$BR$17)^2+0.25*VLOOKUP(Power1[[#This Row],[ASABEtype]],ASABECoefficients[],9)</f>
        <v>0.39585537028502493</v>
      </c>
      <c r="AX16" s="91">
        <f>Power1[[#This Row],[TradeIn%]]*Power1[[#This Row],[PriceL]]</f>
        <v>192209.77423839545</v>
      </c>
      <c r="AY16" s="93">
        <f>(Power1[[#This Row],[PriceP]]-Power1[[#This Row],[TradeIn$]])/Power1[[#This Row],[Life (yr)]]/Power1[[#This Row],[Use (hr/yr)]]</f>
        <v>50.997963700334282</v>
      </c>
      <c r="AZ16" s="93">
        <f>((Power1[[#This Row],[PriceP]]+Power1[[#This Row],[TradeIn$]])/2*($BR$7+$BR$8+$BR$9)+Power1[[#This Row],[Shed (ft^2)]]*$BR$12)/Power1[[#This Row],[Use (hr/yr)]]</f>
        <v>50.549287682150819</v>
      </c>
      <c r="BA16" s="96">
        <f>Power1[[#This Row],[PriceL]]*(VLOOKUP(Power1[[#This Row],[ASABEtype]],ASABECoefficients[],2)*(Power1[[#This Row],[Life (yr)]]*Power1[[#This Row],[Use (hr/yr)]]/1000)^VLOOKUP(Power1[[#This Row],[ASABEtype]],ASABECoefficients[],3))/Power1[[#This Row],[Life (yr)]]/Power1[[#This Row],[Use (hr/yr)]]</f>
        <v>6.9919999999999991</v>
      </c>
      <c r="BB16" s="95">
        <f>Power1[[#This Row],[Fuel (gal/hph)]]*Power1[[#This Row],[HP]]*(1+$BR$11)</f>
        <v>17.423999999999999</v>
      </c>
      <c r="BC16" s="93">
        <f t="shared" si="4"/>
        <v>101.5472513824851</v>
      </c>
      <c r="BE16" s="67" t="s">
        <v>565</v>
      </c>
      <c r="BF16" s="97">
        <v>0.22</v>
      </c>
      <c r="BG16" s="97">
        <v>1.8</v>
      </c>
      <c r="BH16" s="97">
        <v>1500</v>
      </c>
      <c r="BI16" s="97">
        <v>0.65290000000000004</v>
      </c>
      <c r="BJ16" s="97">
        <v>0.15110000000000001</v>
      </c>
      <c r="BK16" s="97">
        <v>0</v>
      </c>
      <c r="BL16" s="97">
        <v>7.7999999999999996E-3</v>
      </c>
      <c r="BM16" s="64">
        <f t="shared" si="5"/>
        <v>1.525225E-2</v>
      </c>
      <c r="BN16" s="97">
        <v>0.1235</v>
      </c>
      <c r="BO16" s="98"/>
      <c r="BQ16" s="59" t="s">
        <v>566</v>
      </c>
      <c r="BR16" s="111">
        <v>76.783000000000001</v>
      </c>
    </row>
    <row r="17" spans="2:70" ht="16.5">
      <c r="B17" s="31"/>
      <c r="C17" s="282" t="s">
        <v>424</v>
      </c>
      <c r="D17" s="125">
        <f>SUM(D8:D16)</f>
        <v>4.7284906206879942</v>
      </c>
      <c r="E17" s="125">
        <f t="shared" ref="E17:I17" si="8">SUM(E8:E16)</f>
        <v>0.83855068989504089</v>
      </c>
      <c r="F17" s="125">
        <f t="shared" si="8"/>
        <v>52.481606005815991</v>
      </c>
      <c r="G17" s="125">
        <f>SUM(G8:G16)</f>
        <v>67.358732078728664</v>
      </c>
      <c r="H17" s="125"/>
      <c r="I17" s="125">
        <f t="shared" si="8"/>
        <v>161.09252143143721</v>
      </c>
      <c r="J17" s="125"/>
      <c r="K17" s="59" t="str">
        <f>Implements7[[#This Row],[Implement type]]&amp;", "&amp;Implements7[[#This Row],[Width]]&amp;" "&amp;Implements7[[#This Row],[Width Unit]]</f>
        <v>Forage harvester, self-prop corn head, 15 Ft</v>
      </c>
      <c r="L17" s="105" t="s">
        <v>615</v>
      </c>
      <c r="M17" s="76">
        <v>15</v>
      </c>
      <c r="N17" s="75" t="s">
        <v>536</v>
      </c>
      <c r="O17" s="76">
        <v>6</v>
      </c>
      <c r="P17" s="75" t="s">
        <v>569</v>
      </c>
      <c r="Q17" s="77">
        <v>107500</v>
      </c>
      <c r="R17" s="78">
        <v>0.1</v>
      </c>
      <c r="S17" s="79">
        <f t="shared" si="0"/>
        <v>119444.44444444444</v>
      </c>
      <c r="T17" s="76">
        <v>12</v>
      </c>
      <c r="U17" s="76">
        <v>200</v>
      </c>
      <c r="V17" s="80">
        <f t="shared" si="1"/>
        <v>1018.1818181818181</v>
      </c>
      <c r="W17" s="76" t="s">
        <v>571</v>
      </c>
      <c r="X17" s="76">
        <v>4</v>
      </c>
      <c r="Y17" s="78">
        <v>0.7</v>
      </c>
      <c r="Z17" s="78">
        <v>1.1100000000000001</v>
      </c>
      <c r="AA17" s="76">
        <v>300</v>
      </c>
      <c r="AB17" s="99">
        <f>(VLOOKUP(Implements7[[#This Row],[ASABEtype]],ASABECoefficients[],5)-VLOOKUP(Implements7[[#This Row],[ASABEtype]],ASABECoefficients[],6)*Implements7[[#This Row],[Life (yr)]]^0.5-VLOOKUP(Implements7[[#This Row],[ASABEtype]],ASABECoefficients[],7)*Implements7[[#This Row],[Use (hr/yr)]]^0.5+VLOOKUP(Implements7[[#This Row],[ASABEtype]],ASABECoefficients[],8)*$BR$17)^2+0.25*VLOOKUP(Implements7[[#This Row],[ASABEtype]],ASABECoefficients[],9)</f>
        <v>0.58537933558730071</v>
      </c>
      <c r="AC17" s="100">
        <f>Implements7[[#This Row],[TradeIn%]]*Implements7[[#This Row],[PriceL]]</f>
        <v>69920.309528483136</v>
      </c>
      <c r="AD17" s="101">
        <f>(Implements7[[#This Row],[PriceP]]-Implements7[[#This Row],[TradeIn$]])/Implements7[[#This Row],[Life (yr)]]/Implements7[[#This Row],[Use (ac/yr)]]</f>
        <v>3.0757187141866482</v>
      </c>
      <c r="AE17" s="84">
        <f>((Implements7[[#This Row],[PriceP]]+Implements7[[#This Row],[TradeIn$]])/2*($BR$7+$BR$8+$BR$9)+Implements7[[#This Row],[Shed (ft^2)]]*$BR$12)/Implements7[[#This Row],[Use (ac/yr)]]</f>
        <v>5.8180772929703117</v>
      </c>
      <c r="AF17" s="102">
        <f>Implements7[[#This Row],[PriceL]]*(VLOOKUP(Implements7[[#This Row],[ASABEtype]],ASABECoefficients[],2)*(Implements7[[#This Row],[Life (yr)]]*Implements7[[#This Row],[Use (hr/yr)]]/1000)^VLOOKUP(Implements7[[#This Row],[ASABEtype]],ASABECoefficients[],3))/Implements7[[#This Row],[Life (yr)]]/Implements7[[#This Row],[Use (ac/yr)]]</f>
        <v>1.6892857142857141</v>
      </c>
      <c r="AG17" s="61">
        <f>$BR$18/(Implements7[[#This Row],[Width]]*Implements7[[#This Row],[Speed]]*Implements7[[#This Row],[Efficiency]])</f>
        <v>0.19642857142857142</v>
      </c>
      <c r="AH17" s="86">
        <f>SUM(Implements7[[#This Row],[Depr ($/ac)]:[OH (interest, insurance, taxes, housing) ($/ac)]])</f>
        <v>8.8937960071569595</v>
      </c>
      <c r="AI17" s="87">
        <v>39</v>
      </c>
      <c r="AJ17" s="59" t="s">
        <v>734</v>
      </c>
      <c r="AK17" s="86"/>
      <c r="AL17" s="88" t="str">
        <f t="shared" si="2"/>
        <v>425 HP 4WD</v>
      </c>
      <c r="AM17" s="89">
        <v>425</v>
      </c>
      <c r="AN17" s="76" t="s">
        <v>563</v>
      </c>
      <c r="AO17" s="77">
        <v>482000</v>
      </c>
      <c r="AP17" s="78">
        <v>0.1</v>
      </c>
      <c r="AQ17" s="134">
        <f t="shared" si="3"/>
        <v>535555.5555555555</v>
      </c>
      <c r="AR17" s="76">
        <v>12</v>
      </c>
      <c r="AS17" s="76">
        <v>400</v>
      </c>
      <c r="AT17" s="76">
        <v>4.3999999999999997E-2</v>
      </c>
      <c r="AU17" s="76" t="s">
        <v>561</v>
      </c>
      <c r="AV17" s="76">
        <v>250</v>
      </c>
      <c r="AW17" s="90">
        <f>(VLOOKUP(Power1[[#This Row],[ASABEtype]],ASABECoefficients[],5)-VLOOKUP(Power1[[#This Row],[ASABEtype]],ASABECoefficients[],6)*Power1[[#This Row],[Life (yr)]]^0.5-VLOOKUP(Power1[[#This Row],[ASABEtype]],ASABECoefficients[],7)*Power1[[#This Row],[Use (hr/yr)]]^0.5+VLOOKUP(Power1[[#This Row],[ASABEtype]],ASABECoefficients[],8)*$BR$17)^2+0.25*VLOOKUP(Power1[[#This Row],[ASABEtype]],ASABECoefficients[],9)</f>
        <v>0.39585537028502493</v>
      </c>
      <c r="AX17" s="91">
        <f>Power1[[#This Row],[TradeIn%]]*Power1[[#This Row],[PriceL]]</f>
        <v>212002.54275264667</v>
      </c>
      <c r="AY17" s="93">
        <f>(Power1[[#This Row],[PriceP]]-Power1[[#This Row],[TradeIn$]])/Power1[[#This Row],[Life (yr)]]/Power1[[#This Row],[Use (hr/yr)]]</f>
        <v>56.249470259865276</v>
      </c>
      <c r="AZ17" s="93">
        <f>((Power1[[#This Row],[PriceP]]+Power1[[#This Row],[TradeIn$]])/2*($BR$7+$BR$8+$BR$9)+Power1[[#This Row],[Shed (ft^2)]]*$BR$12)/Power1[[#This Row],[Use (hr/yr)]]</f>
        <v>55.692213682969495</v>
      </c>
      <c r="BA17" s="96">
        <f>Power1[[#This Row],[PriceL]]*(VLOOKUP(Power1[[#This Row],[ASABEtype]],ASABECoefficients[],2)*(Power1[[#This Row],[Life (yr)]]*Power1[[#This Row],[Use (hr/yr)]]/1000)^VLOOKUP(Power1[[#This Row],[ASABEtype]],ASABECoefficients[],3))/Power1[[#This Row],[Life (yr)]]/Power1[[#This Row],[Use (hr/yr)]]</f>
        <v>7.7119999999999997</v>
      </c>
      <c r="BB17" s="95">
        <f>Power1[[#This Row],[Fuel (gal/hph)]]*Power1[[#This Row],[HP]]*(1+$BR$11)</f>
        <v>20.57</v>
      </c>
      <c r="BC17" s="93">
        <f t="shared" si="4"/>
        <v>111.94168394283477</v>
      </c>
      <c r="BE17" s="67" t="s">
        <v>567</v>
      </c>
      <c r="BF17" s="97">
        <v>0.15</v>
      </c>
      <c r="BG17" s="97">
        <v>1.6</v>
      </c>
      <c r="BH17" s="97">
        <v>2500</v>
      </c>
      <c r="BI17" s="97">
        <v>0.65290000000000004</v>
      </c>
      <c r="BJ17" s="97">
        <v>0.15110000000000001</v>
      </c>
      <c r="BK17" s="97">
        <v>0</v>
      </c>
      <c r="BL17" s="97">
        <v>7.7999999999999996E-3</v>
      </c>
      <c r="BM17" s="64">
        <f t="shared" si="5"/>
        <v>1.525225E-2</v>
      </c>
      <c r="BN17" s="97">
        <v>0.1235</v>
      </c>
      <c r="BO17" s="98"/>
      <c r="BQ17" s="64" t="s">
        <v>810</v>
      </c>
      <c r="BR17" s="112">
        <f>BR14*BR16/BR15</f>
        <v>81.170600000000007</v>
      </c>
    </row>
    <row r="18" spans="2:70">
      <c r="K18" s="59" t="str">
        <f>Implements7[[#This Row],[Implement type]]&amp;", "&amp;Implements7[[#This Row],[Width]]&amp;" "&amp;Implements7[[#This Row],[Width Unit]]</f>
        <v>Forage harvester, self-prop corn head, 20 Ft Folding</v>
      </c>
      <c r="L18" s="105" t="s">
        <v>615</v>
      </c>
      <c r="M18" s="76">
        <v>20</v>
      </c>
      <c r="N18" s="75" t="s">
        <v>681</v>
      </c>
      <c r="O18" s="76">
        <v>8</v>
      </c>
      <c r="P18" s="75" t="s">
        <v>569</v>
      </c>
      <c r="Q18" s="77">
        <v>141000</v>
      </c>
      <c r="R18" s="78">
        <v>0.1</v>
      </c>
      <c r="S18" s="79">
        <f t="shared" si="0"/>
        <v>156666.66666666666</v>
      </c>
      <c r="T18" s="76">
        <v>12</v>
      </c>
      <c r="U18" s="76">
        <v>200</v>
      </c>
      <c r="V18" s="80">
        <f t="shared" si="1"/>
        <v>1357.5757575757575</v>
      </c>
      <c r="W18" s="76" t="s">
        <v>571</v>
      </c>
      <c r="X18" s="76">
        <v>4</v>
      </c>
      <c r="Y18" s="78">
        <v>0.7</v>
      </c>
      <c r="Z18" s="78">
        <v>1.1100000000000001</v>
      </c>
      <c r="AA18" s="76">
        <v>300</v>
      </c>
      <c r="AB18" s="99">
        <f>(VLOOKUP(Implements7[[#This Row],[ASABEtype]],ASABECoefficients[],5)-VLOOKUP(Implements7[[#This Row],[ASABEtype]],ASABECoefficients[],6)*Implements7[[#This Row],[Life (yr)]]^0.5-VLOOKUP(Implements7[[#This Row],[ASABEtype]],ASABECoefficients[],7)*Implements7[[#This Row],[Use (hr/yr)]]^0.5+VLOOKUP(Implements7[[#This Row],[ASABEtype]],ASABECoefficients[],8)*$BR$17)^2+0.25*VLOOKUP(Implements7[[#This Row],[ASABEtype]],ASABECoefficients[],9)</f>
        <v>0.58537933558730071</v>
      </c>
      <c r="AC18" s="100">
        <f>Implements7[[#This Row],[TradeIn%]]*Implements7[[#This Row],[PriceL]]</f>
        <v>91709.429242010432</v>
      </c>
      <c r="AD18" s="101">
        <f>(Implements7[[#This Row],[PriceP]]-Implements7[[#This Row],[TradeIn$]])/Implements7[[#This Row],[Life (yr)]]/Implements7[[#This Row],[Use (ac/yr)]]</f>
        <v>3.0256488746533776</v>
      </c>
      <c r="AE18" s="84">
        <f>((Implements7[[#This Row],[PriceP]]+Implements7[[#This Row],[TradeIn$]])/2*($BR$7+$BR$8+$BR$9)+Implements7[[#This Row],[Shed (ft^2)]]*$BR$12)/Implements7[[#This Row],[Use (ac/yr)]]</f>
        <v>5.6566199157064894</v>
      </c>
      <c r="AF18" s="102">
        <f>Implements7[[#This Row],[PriceL]]*(VLOOKUP(Implements7[[#This Row],[ASABEtype]],ASABECoefficients[],2)*(Implements7[[#This Row],[Life (yr)]]*Implements7[[#This Row],[Use (hr/yr)]]/1000)^VLOOKUP(Implements7[[#This Row],[ASABEtype]],ASABECoefficients[],3))/Implements7[[#This Row],[Life (yr)]]/Implements7[[#This Row],[Use (ac/yr)]]</f>
        <v>1.661785714285714</v>
      </c>
      <c r="AG18" s="61">
        <f>$BR$18/(Implements7[[#This Row],[Width]]*Implements7[[#This Row],[Speed]]*Implements7[[#This Row],[Efficiency]])</f>
        <v>0.14732142857142858</v>
      </c>
      <c r="AH18" s="86">
        <f>SUM(Implements7[[#This Row],[Depr ($/ac)]:[OH (interest, insurance, taxes, housing) ($/ac)]])</f>
        <v>8.682268790359867</v>
      </c>
      <c r="AI18" s="87">
        <v>40</v>
      </c>
      <c r="AJ18" s="59" t="s">
        <v>734</v>
      </c>
      <c r="AK18" s="86"/>
      <c r="AL18" s="88" t="str">
        <f t="shared" si="2"/>
        <v>575 HP Tracked 4WD</v>
      </c>
      <c r="AM18" s="89">
        <v>575</v>
      </c>
      <c r="AN18" s="76" t="s">
        <v>685</v>
      </c>
      <c r="AO18" s="77">
        <v>632000</v>
      </c>
      <c r="AP18" s="78">
        <v>0.1</v>
      </c>
      <c r="AQ18" s="134">
        <f>AO18/(1-AP18)</f>
        <v>702222.22222222225</v>
      </c>
      <c r="AR18" s="76">
        <v>12</v>
      </c>
      <c r="AS18" s="76">
        <v>400</v>
      </c>
      <c r="AT18" s="76">
        <v>4.3999999999999997E-2</v>
      </c>
      <c r="AU18" s="76" t="s">
        <v>561</v>
      </c>
      <c r="AV18" s="76">
        <v>275</v>
      </c>
      <c r="AW18" s="90">
        <f>(VLOOKUP(Power1[[#This Row],[ASABEtype]],ASABECoefficients[],5)-VLOOKUP(Power1[[#This Row],[ASABEtype]],ASABECoefficients[],6)*Power1[[#This Row],[Life (yr)]]^0.5-VLOOKUP(Power1[[#This Row],[ASABEtype]],ASABECoefficients[],7)*Power1[[#This Row],[Use (hr/yr)]]^0.5+VLOOKUP(Power1[[#This Row],[ASABEtype]],ASABECoefficients[],8)*$BR$17)^2+0.25*VLOOKUP(Power1[[#This Row],[ASABEtype]],ASABECoefficients[],9)</f>
        <v>0.39585537028502493</v>
      </c>
      <c r="AX18" s="91">
        <f>Power1[[#This Row],[TradeIn%]]*Power1[[#This Row],[PriceL]]</f>
        <v>277978.43780015083</v>
      </c>
      <c r="AY18" s="93">
        <f>(Power1[[#This Row],[PriceP]]-Power1[[#This Row],[TradeIn$]])/Power1[[#This Row],[Life (yr)]]/Power1[[#This Row],[Use (hr/yr)]]</f>
        <v>73.754492124968579</v>
      </c>
      <c r="AZ18" s="127">
        <f>((Power1[[#This Row],[PriceP]]+Power1[[#This Row],[TradeIn$]])*($BR$7+$BR$8+$BR$9)+Power1[[#This Row],[Shed (ft^2)]]*$BR$12)/Power1[[#This Row],[Use (hr/yr)]]</f>
        <v>145.12541503794992</v>
      </c>
      <c r="BA18" s="96">
        <f>Power1[[#This Row],[PriceL]]*(VLOOKUP(Power1[[#This Row],[ASABEtype]],ASABECoefficients[],2)*(Power1[[#This Row],[Life (yr)]]*Power1[[#This Row],[Use (hr/yr)]]/1000)^VLOOKUP(Power1[[#This Row],[ASABEtype]],ASABECoefficients[],3))/Power1[[#This Row],[Life (yr)]]/Power1[[#This Row],[Use (hr/yr)]]</f>
        <v>10.112000000000002</v>
      </c>
      <c r="BB18" s="95">
        <f>Power1[[#This Row],[Fuel (gal/hph)]]*Power1[[#This Row],[HP]]*(1+$BR$11)</f>
        <v>27.83</v>
      </c>
      <c r="BC18" s="93">
        <f t="shared" si="4"/>
        <v>218.8799071629185</v>
      </c>
      <c r="BE18" s="67" t="s">
        <v>571</v>
      </c>
      <c r="BF18" s="97">
        <v>0.03</v>
      </c>
      <c r="BG18" s="97">
        <v>2</v>
      </c>
      <c r="BH18" s="97">
        <v>4000</v>
      </c>
      <c r="BI18" s="97">
        <v>0.65290000000000004</v>
      </c>
      <c r="BJ18" s="97">
        <v>0.15110000000000001</v>
      </c>
      <c r="BK18" s="97">
        <v>0</v>
      </c>
      <c r="BL18" s="97">
        <v>7.7999999999999996E-3</v>
      </c>
      <c r="BM18" s="64">
        <f t="shared" si="5"/>
        <v>1.525225E-2</v>
      </c>
      <c r="BN18" s="97">
        <v>0.1235</v>
      </c>
      <c r="BO18" s="98"/>
      <c r="BQ18" s="64" t="s">
        <v>572</v>
      </c>
      <c r="BR18" s="97">
        <v>8.25</v>
      </c>
    </row>
    <row r="19" spans="2:70">
      <c r="B19" s="317" t="s">
        <v>699</v>
      </c>
      <c r="C19" s="317"/>
      <c r="D19" s="317"/>
      <c r="E19" s="317"/>
      <c r="F19" s="317"/>
      <c r="G19" s="317"/>
      <c r="H19" s="317"/>
      <c r="I19" s="317"/>
      <c r="K19" s="59" t="str">
        <f>Implements7[[#This Row],[Implement type]]&amp;", "&amp;Implements7[[#This Row],[Width]]&amp;" "&amp;Implements7[[#This Row],[Width Unit]]</f>
        <v>Forage harvester, self-prop pickup head (2X windrows), 24 Ft Folding</v>
      </c>
      <c r="L19" s="75" t="s">
        <v>619</v>
      </c>
      <c r="M19" s="76">
        <v>24</v>
      </c>
      <c r="N19" s="75" t="s">
        <v>681</v>
      </c>
      <c r="O19" s="76"/>
      <c r="P19" s="75"/>
      <c r="Q19" s="77">
        <v>35000</v>
      </c>
      <c r="R19" s="78">
        <v>0.1</v>
      </c>
      <c r="S19" s="79">
        <f t="shared" si="0"/>
        <v>38888.888888888891</v>
      </c>
      <c r="T19" s="76">
        <v>12</v>
      </c>
      <c r="U19" s="76">
        <v>200</v>
      </c>
      <c r="V19" s="80">
        <f t="shared" si="1"/>
        <v>1629.0909090909088</v>
      </c>
      <c r="W19" s="76" t="s">
        <v>571</v>
      </c>
      <c r="X19" s="76">
        <v>4</v>
      </c>
      <c r="Y19" s="78">
        <v>0.7</v>
      </c>
      <c r="Z19" s="78">
        <v>1.1100000000000001</v>
      </c>
      <c r="AA19" s="76">
        <v>300</v>
      </c>
      <c r="AB19" s="99">
        <f>(VLOOKUP(Implements7[[#This Row],[ASABEtype]],ASABECoefficients[],5)-VLOOKUP(Implements7[[#This Row],[ASABEtype]],ASABECoefficients[],6)*Implements7[[#This Row],[Life (yr)]]^0.5-VLOOKUP(Implements7[[#This Row],[ASABEtype]],ASABECoefficients[],7)*Implements7[[#This Row],[Use (hr/yr)]]^0.5+VLOOKUP(Implements7[[#This Row],[ASABEtype]],ASABECoefficients[],8)*$BR$17)^2+0.25*VLOOKUP(Implements7[[#This Row],[ASABEtype]],ASABECoefficients[],9)</f>
        <v>0.58537933558730071</v>
      </c>
      <c r="AC19" s="100">
        <f>Implements7[[#This Row],[TradeIn%]]*Implements7[[#This Row],[PriceL]]</f>
        <v>22764.751939506139</v>
      </c>
      <c r="AD19" s="101">
        <f>(Implements7[[#This Row],[PriceP]]-Implements7[[#This Row],[TradeIn$]])/Implements7[[#This Row],[Life (yr)]]/Implements7[[#This Row],[Use (ac/yr)]]</f>
        <v>0.62587299416588771</v>
      </c>
      <c r="AE19" s="84">
        <f>((Implements7[[#This Row],[PriceP]]+Implements7[[#This Row],[TradeIn$]])/2*($BR$7+$BR$8+$BR$9)+Implements7[[#This Row],[Shed (ft^2)]]*$BR$12)/Implements7[[#This Row],[Use (ac/yr)]]</f>
        <v>1.3042836045377943</v>
      </c>
      <c r="AF19" s="102">
        <f>Implements7[[#This Row],[PriceL]]*(VLOOKUP(Implements7[[#This Row],[ASABEtype]],ASABECoefficients[],2)*(Implements7[[#This Row],[Life (yr)]]*Implements7[[#This Row],[Use (hr/yr)]]/1000)^VLOOKUP(Implements7[[#This Row],[ASABEtype]],ASABECoefficients[],3))/Implements7[[#This Row],[Life (yr)]]/Implements7[[#This Row],[Use (ac/yr)]]</f>
        <v>0.34375000000000006</v>
      </c>
      <c r="AG19" s="61">
        <f>$BR$18/(Implements7[[#This Row],[Width]]*Implements7[[#This Row],[Speed]]*Implements7[[#This Row],[Efficiency]])</f>
        <v>0.12276785714285716</v>
      </c>
      <c r="AH19" s="86">
        <f>SUM(Implements7[[#This Row],[Depr ($/ac)]:[OH (interest, insurance, taxes, housing) ($/ac)]])</f>
        <v>1.9301565987036819</v>
      </c>
      <c r="AI19" s="87">
        <v>42</v>
      </c>
      <c r="AJ19" s="59" t="s">
        <v>734</v>
      </c>
      <c r="AK19" s="86"/>
      <c r="AL19" s="88" t="str">
        <f t="shared" si="2"/>
        <v>275 HP Combine</v>
      </c>
      <c r="AM19" s="89">
        <v>275</v>
      </c>
      <c r="AN19" s="76" t="s">
        <v>570</v>
      </c>
      <c r="AO19" s="77">
        <v>441000</v>
      </c>
      <c r="AP19" s="78">
        <v>0.2</v>
      </c>
      <c r="AQ19" s="134">
        <f t="shared" si="3"/>
        <v>551250</v>
      </c>
      <c r="AR19" s="76">
        <v>12</v>
      </c>
      <c r="AS19" s="76">
        <v>400</v>
      </c>
      <c r="AT19" s="76">
        <v>4.3999999999999997E-2</v>
      </c>
      <c r="AU19" s="76" t="s">
        <v>553</v>
      </c>
      <c r="AV19" s="76">
        <v>400</v>
      </c>
      <c r="AW19" s="90">
        <f>(VLOOKUP(Power1[[#This Row],[ASABEtype]],ASABECoefficients[],5)-VLOOKUP(Power1[[#This Row],[ASABEtype]],ASABECoefficients[],6)*Power1[[#This Row],[Life (yr)]]^0.5-VLOOKUP(Power1[[#This Row],[ASABEtype]],ASABECoefficients[],7)*Power1[[#This Row],[Use (hr/yr)]]^0.5+VLOOKUP(Power1[[#This Row],[ASABEtype]],ASABECoefficients[],8)*$BR$17)^2+0.25*VLOOKUP(Power1[[#This Row],[ASABEtype]],ASABECoefficients[],9)</f>
        <v>0.10399147106668855</v>
      </c>
      <c r="AX19" s="91">
        <f>Power1[[#This Row],[TradeIn%]]*Power1[[#This Row],[PriceL]]</f>
        <v>57325.298425512061</v>
      </c>
      <c r="AY19" s="93">
        <f>(Power1[[#This Row],[PriceP]]-Power1[[#This Row],[TradeIn$]])/Power1[[#This Row],[Life (yr)]]/Power1[[#This Row],[Use (hr/yr)]]</f>
        <v>79.932229494684989</v>
      </c>
      <c r="AZ19" s="93">
        <f>((Power1[[#This Row],[PriceP]]+Power1[[#This Row],[TradeIn$]])/2*($BR$7+$BR$8+$BR$9)+Power1[[#This Row],[Shed (ft^2)]]*$BR$12)/Power1[[#This Row],[Use (hr/yr)]]</f>
        <v>40.523789525690091</v>
      </c>
      <c r="BA19" s="96">
        <f>Power1[[#This Row],[PriceL]]*(VLOOKUP(Power1[[#This Row],[ASABEtype]],ASABECoefficients[],2)*(Power1[[#This Row],[Life (yr)]]*Power1[[#This Row],[Use (hr/yr)]]/1000)^VLOOKUP(Power1[[#This Row],[ASABEtype]],ASABECoefficients[],3))/Power1[[#This Row],[Life (yr)]]/Power1[[#This Row],[Use (hr/yr)]]</f>
        <v>123.81519754957228</v>
      </c>
      <c r="BB19" s="95">
        <f>Power1[[#This Row],[Fuel (gal/hph)]]*Power1[[#This Row],[HP]]*(1+$BR$11)</f>
        <v>13.31</v>
      </c>
      <c r="BC19" s="93">
        <f t="shared" si="4"/>
        <v>120.45601902037508</v>
      </c>
      <c r="BE19" s="67" t="s">
        <v>573</v>
      </c>
      <c r="BF19" s="97">
        <v>0.16</v>
      </c>
      <c r="BG19" s="97">
        <v>1.6</v>
      </c>
      <c r="BH19" s="97">
        <v>2000</v>
      </c>
      <c r="BI19" s="97">
        <v>0.80910000000000004</v>
      </c>
      <c r="BJ19" s="97">
        <v>0.1109</v>
      </c>
      <c r="BK19" s="97">
        <v>0</v>
      </c>
      <c r="BL19" s="97">
        <v>1.4E-3</v>
      </c>
      <c r="BM19" s="64">
        <f t="shared" si="5"/>
        <v>1.605289E-2</v>
      </c>
      <c r="BN19" s="97">
        <v>0.12670000000000001</v>
      </c>
      <c r="BO19" s="98"/>
    </row>
    <row r="20" spans="2:70" ht="15.75">
      <c r="B20" s="318" t="s">
        <v>674</v>
      </c>
      <c r="C20" s="320" t="s">
        <v>675</v>
      </c>
      <c r="D20" s="320" t="s">
        <v>676</v>
      </c>
      <c r="E20" s="320" t="s">
        <v>677</v>
      </c>
      <c r="F20" s="278" t="s">
        <v>422</v>
      </c>
      <c r="G20" s="278" t="s">
        <v>423</v>
      </c>
      <c r="H20" s="278"/>
      <c r="I20" s="321" t="s">
        <v>678</v>
      </c>
      <c r="K20" s="59" t="str">
        <f>Implements7[[#This Row],[Implement type]]&amp;", "&amp;Implements7[[#This Row],[Width]]&amp;" "&amp;Implements7[[#This Row],[Width Unit]]</f>
        <v>Forage harvester, self-prop pickup head, 12 Ft</v>
      </c>
      <c r="L20" s="75" t="s">
        <v>617</v>
      </c>
      <c r="M20" s="76">
        <v>12</v>
      </c>
      <c r="N20" s="75" t="s">
        <v>536</v>
      </c>
      <c r="O20" s="76"/>
      <c r="P20" s="75"/>
      <c r="Q20" s="77">
        <v>35000</v>
      </c>
      <c r="R20" s="78">
        <v>0.1</v>
      </c>
      <c r="S20" s="79">
        <f t="shared" si="0"/>
        <v>38888.888888888891</v>
      </c>
      <c r="T20" s="76">
        <v>12</v>
      </c>
      <c r="U20" s="76">
        <v>200</v>
      </c>
      <c r="V20" s="80">
        <f t="shared" si="1"/>
        <v>814.54545454545439</v>
      </c>
      <c r="W20" s="76" t="s">
        <v>571</v>
      </c>
      <c r="X20" s="76">
        <v>4</v>
      </c>
      <c r="Y20" s="78">
        <v>0.7</v>
      </c>
      <c r="Z20" s="78">
        <v>1.1100000000000001</v>
      </c>
      <c r="AA20" s="76">
        <v>300</v>
      </c>
      <c r="AB20" s="99">
        <f>(VLOOKUP(Implements7[[#This Row],[ASABEtype]],ASABECoefficients[],5)-VLOOKUP(Implements7[[#This Row],[ASABEtype]],ASABECoefficients[],6)*Implements7[[#This Row],[Life (yr)]]^0.5-VLOOKUP(Implements7[[#This Row],[ASABEtype]],ASABECoefficients[],7)*Implements7[[#This Row],[Use (hr/yr)]]^0.5+VLOOKUP(Implements7[[#This Row],[ASABEtype]],ASABECoefficients[],8)*$BR$17)^2+0.25*VLOOKUP(Implements7[[#This Row],[ASABEtype]],ASABECoefficients[],9)</f>
        <v>0.58537933558730071</v>
      </c>
      <c r="AC20" s="100">
        <f>Implements7[[#This Row],[TradeIn%]]*Implements7[[#This Row],[PriceL]]</f>
        <v>22764.751939506139</v>
      </c>
      <c r="AD20" s="101">
        <f>(Implements7[[#This Row],[PriceP]]-Implements7[[#This Row],[TradeIn$]])/Implements7[[#This Row],[Life (yr)]]/Implements7[[#This Row],[Use (ac/yr)]]</f>
        <v>1.2517459883317754</v>
      </c>
      <c r="AE20" s="84">
        <f>((Implements7[[#This Row],[PriceP]]+Implements7[[#This Row],[TradeIn$]])/2*($BR$7+$BR$8+$BR$9)+Implements7[[#This Row],[Shed (ft^2)]]*$BR$12)/Implements7[[#This Row],[Use (ac/yr)]]</f>
        <v>2.6085672090755887</v>
      </c>
      <c r="AF20" s="102">
        <f>Implements7[[#This Row],[PriceL]]*(VLOOKUP(Implements7[[#This Row],[ASABEtype]],ASABECoefficients[],2)*(Implements7[[#This Row],[Life (yr)]]*Implements7[[#This Row],[Use (hr/yr)]]/1000)^VLOOKUP(Implements7[[#This Row],[ASABEtype]],ASABECoefficients[],3))/Implements7[[#This Row],[Life (yr)]]/Implements7[[#This Row],[Use (ac/yr)]]</f>
        <v>0.68750000000000011</v>
      </c>
      <c r="AG20" s="61">
        <f>$BR$18/(Implements7[[#This Row],[Width]]*Implements7[[#This Row],[Speed]]*Implements7[[#This Row],[Efficiency]])</f>
        <v>0.24553571428571433</v>
      </c>
      <c r="AH20" s="86">
        <f>SUM(Implements7[[#This Row],[Depr ($/ac)]:[OH (interest, insurance, taxes, housing) ($/ac)]])</f>
        <v>3.8603131974073639</v>
      </c>
      <c r="AI20" s="87">
        <v>41</v>
      </c>
      <c r="AJ20" s="59" t="s">
        <v>734</v>
      </c>
      <c r="AK20" s="86"/>
      <c r="AL20" s="88" t="str">
        <f t="shared" si="2"/>
        <v>375 HP Combine</v>
      </c>
      <c r="AM20" s="89">
        <v>375</v>
      </c>
      <c r="AN20" s="76" t="s">
        <v>570</v>
      </c>
      <c r="AO20" s="77">
        <v>510000</v>
      </c>
      <c r="AP20" s="78">
        <v>0.2</v>
      </c>
      <c r="AQ20" s="134">
        <f t="shared" si="3"/>
        <v>637500</v>
      </c>
      <c r="AR20" s="76">
        <v>12</v>
      </c>
      <c r="AS20" s="76">
        <v>400</v>
      </c>
      <c r="AT20" s="76">
        <v>4.3999999999999997E-2</v>
      </c>
      <c r="AU20" s="76" t="s">
        <v>553</v>
      </c>
      <c r="AV20" s="76">
        <v>500</v>
      </c>
      <c r="AW20" s="90">
        <f>(VLOOKUP(Power1[[#This Row],[ASABEtype]],ASABECoefficients[],5)-VLOOKUP(Power1[[#This Row],[ASABEtype]],ASABECoefficients[],6)*Power1[[#This Row],[Life (yr)]]^0.5-VLOOKUP(Power1[[#This Row],[ASABEtype]],ASABECoefficients[],7)*Power1[[#This Row],[Use (hr/yr)]]^0.5+VLOOKUP(Power1[[#This Row],[ASABEtype]],ASABECoefficients[],8)*$BR$17)^2+0.25*VLOOKUP(Power1[[#This Row],[ASABEtype]],ASABECoefficients[],9)</f>
        <v>0.10399147106668855</v>
      </c>
      <c r="AX20" s="91">
        <f>Power1[[#This Row],[TradeIn%]]*Power1[[#This Row],[PriceL]]</f>
        <v>66294.562805013949</v>
      </c>
      <c r="AY20" s="93">
        <f>(Power1[[#This Row],[PriceP]]-Power1[[#This Row],[TradeIn$]])/Power1[[#This Row],[Life (yr)]]/Power1[[#This Row],[Use (hr/yr)]]</f>
        <v>92.438632748955428</v>
      </c>
      <c r="AZ20" s="93">
        <f>((Power1[[#This Row],[PriceP]]+Power1[[#This Row],[TradeIn$]])/2*($BR$7+$BR$8+$BR$9)+Power1[[#This Row],[Shed (ft^2)]]*$BR$12)/Power1[[#This Row],[Use (hr/yr)]]</f>
        <v>46.954904626604332</v>
      </c>
      <c r="BA20" s="96">
        <f>Power1[[#This Row],[PriceL]]*(VLOOKUP(Power1[[#This Row],[ASABEtype]],ASABECoefficients[],2)*(Power1[[#This Row],[Life (yr)]]*Power1[[#This Row],[Use (hr/yr)]]/1000)^VLOOKUP(Power1[[#This Row],[ASABEtype]],ASABECoefficients[],3))/Power1[[#This Row],[Life (yr)]]/Power1[[#This Row],[Use (hr/yr)]]</f>
        <v>143.18764342467543</v>
      </c>
      <c r="BB20" s="95">
        <f>Power1[[#This Row],[Fuel (gal/hph)]]*Power1[[#This Row],[HP]]*(1+$BR$11)</f>
        <v>18.150000000000002</v>
      </c>
      <c r="BC20" s="93">
        <f t="shared" si="4"/>
        <v>139.39353737555976</v>
      </c>
      <c r="BE20" s="67" t="s">
        <v>561</v>
      </c>
      <c r="BF20" s="97">
        <v>3.0000000000000001E-3</v>
      </c>
      <c r="BG20" s="97">
        <v>2</v>
      </c>
      <c r="BH20" s="97">
        <v>16000</v>
      </c>
      <c r="BI20" s="97">
        <v>0.86409999999999998</v>
      </c>
      <c r="BJ20" s="97">
        <v>0.15640000000000001</v>
      </c>
      <c r="BK20" s="97">
        <v>3.3999999999999998E-3</v>
      </c>
      <c r="BL20" s="97">
        <v>4.5999999999999999E-3</v>
      </c>
      <c r="BM20" s="64">
        <f t="shared" si="5"/>
        <v>7.3959999999999989E-3</v>
      </c>
      <c r="BN20" s="97">
        <v>8.5999999999999993E-2</v>
      </c>
      <c r="BO20" s="98"/>
      <c r="BQ20" s="59" t="s">
        <v>805</v>
      </c>
    </row>
    <row r="21" spans="2:70" ht="15.75">
      <c r="B21" s="319"/>
      <c r="C21" s="317"/>
      <c r="D21" s="317"/>
      <c r="E21" s="317"/>
      <c r="F21" s="248" t="s">
        <v>427</v>
      </c>
      <c r="G21" s="248" t="s">
        <v>427</v>
      </c>
      <c r="H21" s="248" t="s">
        <v>698</v>
      </c>
      <c r="I21" s="322"/>
      <c r="K21" s="59" t="str">
        <f>Implements7[[#This Row],[Implement type]]&amp;", "&amp;Implements7[[#This Row],[Width]]&amp;" "&amp;Implements7[[#This Row],[Width Unit]]</f>
        <v>Combine belt pickup hd, 23 Ft</v>
      </c>
      <c r="L21" s="75" t="s">
        <v>624</v>
      </c>
      <c r="M21" s="76">
        <v>23</v>
      </c>
      <c r="N21" s="75" t="s">
        <v>536</v>
      </c>
      <c r="O21" s="76"/>
      <c r="P21" s="75"/>
      <c r="Q21" s="77">
        <v>56000</v>
      </c>
      <c r="R21" s="78">
        <v>0.2</v>
      </c>
      <c r="S21" s="79">
        <f t="shared" si="0"/>
        <v>70000</v>
      </c>
      <c r="T21" s="76">
        <v>12</v>
      </c>
      <c r="U21" s="77">
        <v>106.52173913043478</v>
      </c>
      <c r="V21" s="80">
        <f t="shared" si="1"/>
        <v>831.51515151515139</v>
      </c>
      <c r="W21" s="76" t="s">
        <v>553</v>
      </c>
      <c r="X21" s="76">
        <v>4</v>
      </c>
      <c r="Y21" s="78">
        <v>0.7</v>
      </c>
      <c r="Z21" s="78">
        <v>1.1100000000000001</v>
      </c>
      <c r="AA21" s="76">
        <v>75</v>
      </c>
      <c r="AB21" s="99">
        <f>(VLOOKUP(Implements7[[#This Row],[ASABEtype]],ASABECoefficients[],5)-VLOOKUP(Implements7[[#This Row],[ASABEtype]],ASABECoefficients[],6)*Implements7[[#This Row],[Life (yr)]]^0.5-VLOOKUP(Implements7[[#This Row],[ASABEtype]],ASABECoefficients[],7)*Implements7[[#This Row],[Use (hr/yr)]]^0.5+VLOOKUP(Implements7[[#This Row],[ASABEtype]],ASABECoefficients[],8)*$BR$17)^2+0.25*VLOOKUP(Implements7[[#This Row],[ASABEtype]],ASABECoefficients[],9)</f>
        <v>0.15758632073628612</v>
      </c>
      <c r="AC21" s="100">
        <f>Implements7[[#This Row],[TradeIn%]]*Implements7[[#This Row],[PriceL]]</f>
        <v>11031.042451540028</v>
      </c>
      <c r="AD21" s="101">
        <f>(Implements7[[#This Row],[PriceP]]-Implements7[[#This Row],[TradeIn$]])/Implements7[[#This Row],[Life (yr)]]/Implements7[[#This Row],[Use (ac/yr)]]</f>
        <v>4.5067286172837075</v>
      </c>
      <c r="AE21" s="84">
        <f>((Implements7[[#This Row],[PriceP]]+Implements7[[#This Row],[TradeIn$]])/2*($BR$7+$BR$8+$BR$9)+Implements7[[#This Row],[Shed (ft^2)]]*$BR$12)/Implements7[[#This Row],[Use (ac/yr)]]</f>
        <v>2.6468874512549063</v>
      </c>
      <c r="AF21" s="102">
        <f>Implements7[[#This Row],[PriceL]]*(VLOOKUP(Implements7[[#This Row],[ASABEtype]],ASABECoefficients[],2)*(Implements7[[#This Row],[Life (yr)]]*Implements7[[#This Row],[Use (hr/yr)]]/1000)^VLOOKUP(Implements7[[#This Row],[ASABEtype]],ASABECoefficients[],3))/Implements7[[#This Row],[Life (yr)]]/Implements7[[#This Row],[Use (ac/yr)]]</f>
        <v>0.46990228444688409</v>
      </c>
      <c r="AG21" s="61">
        <f>$BR$18/(Implements7[[#This Row],[Width]]*Implements7[[#This Row],[Speed]]*Implements7[[#This Row],[Efficiency]])</f>
        <v>0.12810559006211181</v>
      </c>
      <c r="AH21" s="86">
        <f>SUM(Implements7[[#This Row],[Depr ($/ac)]:[OH (interest, insurance, taxes, housing) ($/ac)]])</f>
        <v>7.1536160685386143</v>
      </c>
      <c r="AI21" s="87">
        <v>53</v>
      </c>
      <c r="AJ21" s="59" t="s">
        <v>739</v>
      </c>
      <c r="AK21" s="86"/>
      <c r="AL21" s="88" t="str">
        <f t="shared" si="2"/>
        <v>440 HP Combine</v>
      </c>
      <c r="AM21" s="89">
        <v>440</v>
      </c>
      <c r="AN21" s="76" t="s">
        <v>570</v>
      </c>
      <c r="AO21" s="77">
        <v>541000</v>
      </c>
      <c r="AP21" s="78">
        <v>0.2</v>
      </c>
      <c r="AQ21" s="134">
        <f t="shared" si="3"/>
        <v>676250</v>
      </c>
      <c r="AR21" s="76">
        <v>12</v>
      </c>
      <c r="AS21" s="76">
        <v>400</v>
      </c>
      <c r="AT21" s="113">
        <f>0.044*370/425</f>
        <v>3.8305882352941169E-2</v>
      </c>
      <c r="AU21" s="76" t="s">
        <v>553</v>
      </c>
      <c r="AV21" s="76">
        <v>500</v>
      </c>
      <c r="AW21" s="90">
        <f>(VLOOKUP(Power1[[#This Row],[ASABEtype]],ASABECoefficients[],5)-VLOOKUP(Power1[[#This Row],[ASABEtype]],ASABECoefficients[],6)*Power1[[#This Row],[Life (yr)]]^0.5-VLOOKUP(Power1[[#This Row],[ASABEtype]],ASABECoefficients[],7)*Power1[[#This Row],[Use (hr/yr)]]^0.5+VLOOKUP(Power1[[#This Row],[ASABEtype]],ASABECoefficients[],8)*$BR$17)^2+0.25*VLOOKUP(Power1[[#This Row],[ASABEtype]],ASABECoefficients[],9)</f>
        <v>0.10399147106668855</v>
      </c>
      <c r="AX21" s="91">
        <f>Power1[[#This Row],[TradeIn%]]*Power1[[#This Row],[PriceL]]</f>
        <v>70324.232308848135</v>
      </c>
      <c r="AY21" s="93">
        <f>(Power1[[#This Row],[PriceP]]-Power1[[#This Row],[TradeIn$]])/Power1[[#This Row],[Life (yr)]]/Power1[[#This Row],[Use (hr/yr)]]</f>
        <v>98.057451602323312</v>
      </c>
      <c r="AZ21" s="93">
        <f>((Power1[[#This Row],[PriceP]]+Power1[[#This Row],[TradeIn$]])/2*($BR$7+$BR$8+$BR$9)+Power1[[#This Row],[Shed (ft^2)]]*$BR$12)/Power1[[#This Row],[Use (hr/yr)]]</f>
        <v>49.735384643471171</v>
      </c>
      <c r="BA21" s="96">
        <f>Power1[[#This Row],[PriceL]]*(VLOOKUP(Power1[[#This Row],[ASABEtype]],ASABECoefficients[],2)*(Power1[[#This Row],[Life (yr)]]*Power1[[#This Row],[Use (hr/yr)]]/1000)^VLOOKUP(Power1[[#This Row],[ASABEtype]],ASABECoefficients[],3))/Power1[[#This Row],[Life (yr)]]/Power1[[#This Row],[Use (hr/yr)]]</f>
        <v>151.89120606421451</v>
      </c>
      <c r="BB21" s="95">
        <f>Power1[[#This Row],[Fuel (gal/hph)]]*Power1[[#This Row],[HP]]*(1+$BR$11)</f>
        <v>18.540047058823525</v>
      </c>
      <c r="BC21" s="93">
        <f t="shared" si="4"/>
        <v>147.79283624579449</v>
      </c>
      <c r="BE21" s="67" t="s">
        <v>575</v>
      </c>
      <c r="BF21" s="97">
        <v>0.32</v>
      </c>
      <c r="BG21" s="97">
        <v>2.1</v>
      </c>
      <c r="BH21" s="97">
        <v>1500</v>
      </c>
      <c r="BI21" s="97">
        <v>1.2211000000000001</v>
      </c>
      <c r="BJ21" s="97">
        <v>0.17369999999999999</v>
      </c>
      <c r="BK21" s="97">
        <v>0</v>
      </c>
      <c r="BL21" s="97">
        <v>-1.6999999999999999E-3</v>
      </c>
      <c r="BM21" s="64">
        <f t="shared" si="5"/>
        <v>1.5976960000000002E-2</v>
      </c>
      <c r="BN21" s="97">
        <v>0.12640000000000001</v>
      </c>
      <c r="BO21" s="98"/>
      <c r="BQ21" s="59" t="s">
        <v>808</v>
      </c>
    </row>
    <row r="22" spans="2:70" ht="16.5">
      <c r="B22" s="31"/>
      <c r="C22" s="31"/>
      <c r="D22" s="123" t="s">
        <v>744</v>
      </c>
      <c r="E22" s="123" t="s">
        <v>745</v>
      </c>
      <c r="F22" s="123" t="s">
        <v>746</v>
      </c>
      <c r="G22" s="123" t="s">
        <v>746</v>
      </c>
      <c r="H22" s="123" t="s">
        <v>748</v>
      </c>
      <c r="I22" s="123" t="s">
        <v>747</v>
      </c>
      <c r="K22" s="59" t="str">
        <f>Implements7[[#This Row],[Implement type]]&amp;", "&amp;Implements7[[#This Row],[Width]]&amp;" "&amp;Implements7[[#This Row],[Width Unit]]</f>
        <v>Combine chopping corn hd, 20 Ft</v>
      </c>
      <c r="L22" s="75" t="s">
        <v>623</v>
      </c>
      <c r="M22" s="76">
        <v>20</v>
      </c>
      <c r="N22" s="75" t="s">
        <v>536</v>
      </c>
      <c r="O22" s="76">
        <v>8</v>
      </c>
      <c r="P22" s="75" t="s">
        <v>569</v>
      </c>
      <c r="Q22" s="77">
        <v>112500</v>
      </c>
      <c r="R22" s="78">
        <v>0.2</v>
      </c>
      <c r="S22" s="79">
        <f t="shared" si="0"/>
        <v>140625</v>
      </c>
      <c r="T22" s="76">
        <v>12</v>
      </c>
      <c r="U22" s="76">
        <v>200</v>
      </c>
      <c r="V22" s="80">
        <f t="shared" si="1"/>
        <v>1357.5757575757575</v>
      </c>
      <c r="W22" s="76" t="s">
        <v>542</v>
      </c>
      <c r="X22" s="76">
        <v>4</v>
      </c>
      <c r="Y22" s="78">
        <v>0.7</v>
      </c>
      <c r="Z22" s="78">
        <v>1.1100000000000001</v>
      </c>
      <c r="AA22" s="76">
        <v>160</v>
      </c>
      <c r="AB22" s="99">
        <f>(VLOOKUP(Implements7[[#This Row],[ASABEtype]],ASABECoefficients[],5)-VLOOKUP(Implements7[[#This Row],[ASABEtype]],ASABECoefficients[],6)*Implements7[[#This Row],[Life (yr)]]^0.5-VLOOKUP(Implements7[[#This Row],[ASABEtype]],ASABECoefficients[],7)*Implements7[[#This Row],[Use (hr/yr)]]^0.5+VLOOKUP(Implements7[[#This Row],[ASABEtype]],ASABECoefficients[],8)*$BR$17)^2+0.25*VLOOKUP(Implements7[[#This Row],[ASABEtype]],ASABECoefficients[],9)</f>
        <v>0.34143443659524941</v>
      </c>
      <c r="AC22" s="100">
        <f>Implements7[[#This Row],[TradeIn%]]*Implements7[[#This Row],[PriceL]]</f>
        <v>48014.217646206947</v>
      </c>
      <c r="AD22" s="101">
        <f>(Implements7[[#This Row],[PriceP]]-Implements7[[#This Row],[TradeIn$]])/Implements7[[#This Row],[Life (yr)]]/Implements7[[#This Row],[Use (ac/yr)]]</f>
        <v>3.958390657877922</v>
      </c>
      <c r="AE22" s="84">
        <f>((Implements7[[#This Row],[PriceP]]+Implements7[[#This Row],[TradeIn$]])/2*($BR$7+$BR$8+$BR$9)+Implements7[[#This Row],[Shed (ft^2)]]*$BR$12)/Implements7[[#This Row],[Use (ac/yr)]]</f>
        <v>3.8682198139358248</v>
      </c>
      <c r="AF22" s="102">
        <f>Implements7[[#This Row],[PriceL]]*(VLOOKUP(Implements7[[#This Row],[ASABEtype]],ASABECoefficients[],2)*(Implements7[[#This Row],[Life (yr)]]*Implements7[[#This Row],[Use (hr/yr)]]/1000)^VLOOKUP(Implements7[[#This Row],[ASABEtype]],ASABECoefficients[],3))/Implements7[[#This Row],[Life (yr)]]/Implements7[[#This Row],[Use (ac/yr)]]</f>
        <v>8.2332439752530782</v>
      </c>
      <c r="AG22" s="61">
        <f>$BR$18/(Implements7[[#This Row],[Width]]*Implements7[[#This Row],[Speed]]*Implements7[[#This Row],[Efficiency]])</f>
        <v>0.14732142857142858</v>
      </c>
      <c r="AH22" s="86">
        <f>SUM(Implements7[[#This Row],[Depr ($/ac)]:[OH (interest, insurance, taxes, housing) ($/ac)]])</f>
        <v>7.8266104718137468</v>
      </c>
      <c r="AI22" s="87">
        <v>48</v>
      </c>
      <c r="AJ22" s="59" t="s">
        <v>739</v>
      </c>
      <c r="AK22" s="86"/>
      <c r="AL22" s="88" t="str">
        <f t="shared" si="2"/>
        <v>400 HP SP Forage Harvester Base Unit</v>
      </c>
      <c r="AM22" s="89">
        <v>400</v>
      </c>
      <c r="AN22" s="76" t="s">
        <v>574</v>
      </c>
      <c r="AO22" s="77">
        <v>521000</v>
      </c>
      <c r="AP22" s="78">
        <v>0.1</v>
      </c>
      <c r="AQ22" s="134">
        <f t="shared" si="3"/>
        <v>578888.88888888888</v>
      </c>
      <c r="AR22" s="76">
        <v>12</v>
      </c>
      <c r="AS22" s="76">
        <v>350</v>
      </c>
      <c r="AT22" s="76">
        <v>2.4E-2</v>
      </c>
      <c r="AU22" s="76" t="s">
        <v>571</v>
      </c>
      <c r="AV22" s="76">
        <v>500</v>
      </c>
      <c r="AW22" s="90">
        <f>(VLOOKUP(Power1[[#This Row],[ASABEtype]],ASABECoefficients[],5)-VLOOKUP(Power1[[#This Row],[ASABEtype]],ASABECoefficients[],6)*Power1[[#This Row],[Life (yr)]]^0.5-VLOOKUP(Power1[[#This Row],[ASABEtype]],ASABECoefficients[],7)*Power1[[#This Row],[Use (hr/yr)]]^0.5+VLOOKUP(Power1[[#This Row],[ASABEtype]],ASABECoefficients[],8)*$BR$17)^2+0.25*VLOOKUP(Power1[[#This Row],[ASABEtype]],ASABECoefficients[],9)</f>
        <v>0.58537933558730071</v>
      </c>
      <c r="AX22" s="91">
        <f>Power1[[#This Row],[TradeIn%]]*Power1[[#This Row],[PriceL]]</f>
        <v>338869.59315664851</v>
      </c>
      <c r="AY22" s="93">
        <f>(Power1[[#This Row],[PriceP]]-Power1[[#This Row],[TradeIn$]])/Power1[[#This Row],[Life (yr)]]/Power1[[#This Row],[Use (hr/yr)]]</f>
        <v>43.364382581750355</v>
      </c>
      <c r="AZ22" s="93">
        <f>((Power1[[#This Row],[PriceP]]+Power1[[#This Row],[TradeIn$]])/2*($BR$7+$BR$8+$BR$9)+Power1[[#This Row],[Shed (ft^2)]]*$BR$12)/Power1[[#This Row],[Use (hr/yr)]]</f>
        <v>79.387054469446085</v>
      </c>
      <c r="BA22" s="96">
        <f>Power1[[#This Row],[PriceL]]*(VLOOKUP(Power1[[#This Row],[ASABEtype]],ASABECoefficients[],2)*(Power1[[#This Row],[Life (yr)]]*Power1[[#This Row],[Use (hr/yr)]]/1000)^VLOOKUP(Power1[[#This Row],[ASABEtype]],ASABECoefficients[],3))/Power1[[#This Row],[Life (yr)]]/Power1[[#This Row],[Use (hr/yr)]]</f>
        <v>72.94</v>
      </c>
      <c r="BB22" s="95">
        <f>Power1[[#This Row],[Fuel (gal/hph)]]*Power1[[#This Row],[HP]]*(1+$BR$11)</f>
        <v>10.56</v>
      </c>
      <c r="BC22" s="93">
        <f t="shared" si="4"/>
        <v>122.75143705119643</v>
      </c>
      <c r="BE22" s="67" t="s">
        <v>576</v>
      </c>
      <c r="BF22" s="97">
        <v>0.18</v>
      </c>
      <c r="BG22" s="97">
        <v>1.7</v>
      </c>
      <c r="BH22" s="97">
        <v>2000</v>
      </c>
      <c r="BI22" s="97">
        <v>0.71940000000000004</v>
      </c>
      <c r="BJ22" s="97">
        <v>0.11020000000000001</v>
      </c>
      <c r="BK22" s="97">
        <v>0</v>
      </c>
      <c r="BL22" s="97">
        <v>3.0000000000000001E-3</v>
      </c>
      <c r="BM22" s="64">
        <f t="shared" si="5"/>
        <v>1.4713690000000001E-2</v>
      </c>
      <c r="BN22" s="97">
        <v>0.12130000000000001</v>
      </c>
      <c r="BO22" s="98"/>
      <c r="BQ22" s="59" t="s">
        <v>809</v>
      </c>
    </row>
    <row r="23" spans="2:70" ht="15.75">
      <c r="B23" s="275" t="s">
        <v>691</v>
      </c>
      <c r="C23" s="275" t="s">
        <v>680</v>
      </c>
      <c r="D23" s="277">
        <f>IF(ISBLANK(C23),"",VLOOKUP(C23,Power1[],17,FALSE)*VLOOKUP(B23,Implements7[],23,FALSE))</f>
        <v>0.13651282051282052</v>
      </c>
      <c r="E23" s="277">
        <f>IF(ISBLANK(B23),"",VLOOKUP(B23,Implements7[],23,FALSE)*VLOOKUP(B23,Implements7[],16,FALSE))</f>
        <v>2.7120315581854043E-2</v>
      </c>
      <c r="F23" s="124">
        <f>IFERROR(IF(ISBLANK(C23),"",D23*$BR$10+E23*$BR$6+VLOOKUP(C23,Power1[],16,FALSE)*VLOOKUP(B23,Implements7[],23,FALSE))+VLOOKUP(B23,Implements7[],22,FALSE),"")</f>
        <v>1.4904592175966394</v>
      </c>
      <c r="G23" s="277">
        <f>IF(ISBLANK(B23),"",VLOOKUP(B23,Implements7[],24,FALSE)+VLOOKUP(C23,Power1[],18,FALSE)*VLOOKUP(B23,Implements7[],23,FALSE))</f>
        <v>5.1936276705683708</v>
      </c>
      <c r="H23" s="283">
        <v>2</v>
      </c>
      <c r="I23" s="124">
        <f>IF(ISBLANK(B23),"",SUM(F23:G23)*H23)</f>
        <v>13.368173776330021</v>
      </c>
      <c r="K23" s="59" t="str">
        <f>Implements7[[#This Row],[Implement type]]&amp;", "&amp;Implements7[[#This Row],[Width]]&amp;" "&amp;Implements7[[#This Row],[Width Unit]]</f>
        <v>Combine chopping corn hd, 22 Ft</v>
      </c>
      <c r="L23" s="75" t="s">
        <v>623</v>
      </c>
      <c r="M23" s="76">
        <v>22</v>
      </c>
      <c r="N23" s="75" t="s">
        <v>536</v>
      </c>
      <c r="O23" s="76">
        <v>12</v>
      </c>
      <c r="P23" s="75" t="s">
        <v>569</v>
      </c>
      <c r="Q23" s="77">
        <v>160000</v>
      </c>
      <c r="R23" s="78">
        <v>0.2</v>
      </c>
      <c r="S23" s="79">
        <f t="shared" si="0"/>
        <v>200000</v>
      </c>
      <c r="T23" s="76">
        <v>12</v>
      </c>
      <c r="U23" s="76">
        <v>200</v>
      </c>
      <c r="V23" s="80">
        <f t="shared" si="1"/>
        <v>1493.333333333333</v>
      </c>
      <c r="W23" s="76" t="s">
        <v>542</v>
      </c>
      <c r="X23" s="76">
        <v>4</v>
      </c>
      <c r="Y23" s="78">
        <v>0.7</v>
      </c>
      <c r="Z23" s="78">
        <v>1.1100000000000001</v>
      </c>
      <c r="AA23" s="76">
        <v>160</v>
      </c>
      <c r="AB23" s="99">
        <f>(VLOOKUP(Implements7[[#This Row],[ASABEtype]],ASABECoefficients[],5)-VLOOKUP(Implements7[[#This Row],[ASABEtype]],ASABECoefficients[],6)*Implements7[[#This Row],[Life (yr)]]^0.5-VLOOKUP(Implements7[[#This Row],[ASABEtype]],ASABECoefficients[],7)*Implements7[[#This Row],[Use (hr/yr)]]^0.5+VLOOKUP(Implements7[[#This Row],[ASABEtype]],ASABECoefficients[],8)*$BR$17)^2+0.25*VLOOKUP(Implements7[[#This Row],[ASABEtype]],ASABECoefficients[],9)</f>
        <v>0.34143443659524941</v>
      </c>
      <c r="AC23" s="100">
        <f>Implements7[[#This Row],[TradeIn%]]*Implements7[[#This Row],[PriceL]]</f>
        <v>68286.887319049885</v>
      </c>
      <c r="AD23" s="101">
        <f>(Implements7[[#This Row],[PriceP]]-Implements7[[#This Row],[TradeIn$]])/Implements7[[#This Row],[Life (yr)]]/Implements7[[#This Row],[Use (ac/yr)]]</f>
        <v>5.1179192344280207</v>
      </c>
      <c r="AE23" s="84">
        <f>((Implements7[[#This Row],[PriceP]]+Implements7[[#This Row],[TradeIn$]])/2*($BR$7+$BR$8+$BR$9)+Implements7[[#This Row],[Shed (ft^2)]]*$BR$12)/Implements7[[#This Row],[Use (ac/yr)]]</f>
        <v>4.9574890891648984</v>
      </c>
      <c r="AF23" s="102">
        <f>Implements7[[#This Row],[PriceL]]*(VLOOKUP(Implements7[[#This Row],[ASABEtype]],ASABECoefficients[],2)*(Implements7[[#This Row],[Life (yr)]]*Implements7[[#This Row],[Use (hr/yr)]]/1000)^VLOOKUP(Implements7[[#This Row],[ASABEtype]],ASABECoefficients[],3))/Implements7[[#This Row],[Life (yr)]]/Implements7[[#This Row],[Use (ac/yr)]]</f>
        <v>10.645002311438326</v>
      </c>
      <c r="AG23" s="61">
        <f>$BR$18/(Implements7[[#This Row],[Width]]*Implements7[[#This Row],[Speed]]*Implements7[[#This Row],[Efficiency]])</f>
        <v>0.13392857142857145</v>
      </c>
      <c r="AH23" s="86">
        <f>SUM(Implements7[[#This Row],[Depr ($/ac)]:[OH (interest, insurance, taxes, housing) ($/ac)]])</f>
        <v>10.075408323592919</v>
      </c>
      <c r="AI23" s="87">
        <v>52</v>
      </c>
      <c r="AJ23" s="59" t="s">
        <v>739</v>
      </c>
      <c r="AK23" s="86"/>
      <c r="AL23" s="88" t="str">
        <f t="shared" si="2"/>
        <v>625 HP SP Forage Harvester Base Unit</v>
      </c>
      <c r="AM23" s="89">
        <v>625</v>
      </c>
      <c r="AN23" s="76" t="s">
        <v>574</v>
      </c>
      <c r="AO23" s="77">
        <v>622000</v>
      </c>
      <c r="AP23" s="78">
        <v>0.1</v>
      </c>
      <c r="AQ23" s="134">
        <f t="shared" si="3"/>
        <v>691111.11111111112</v>
      </c>
      <c r="AR23" s="76">
        <v>12</v>
      </c>
      <c r="AS23" s="76">
        <v>350</v>
      </c>
      <c r="AT23" s="76">
        <v>2.4E-2</v>
      </c>
      <c r="AU23" s="76" t="s">
        <v>571</v>
      </c>
      <c r="AV23" s="76">
        <v>500</v>
      </c>
      <c r="AW23" s="90">
        <f>(VLOOKUP(Power1[[#This Row],[ASABEtype]],ASABECoefficients[],5)-VLOOKUP(Power1[[#This Row],[ASABEtype]],ASABECoefficients[],6)*Power1[[#This Row],[Life (yr)]]^0.5-VLOOKUP(Power1[[#This Row],[ASABEtype]],ASABECoefficients[],7)*Power1[[#This Row],[Use (hr/yr)]]^0.5+VLOOKUP(Power1[[#This Row],[ASABEtype]],ASABECoefficients[],8)*$BR$17)^2+0.25*VLOOKUP(Power1[[#This Row],[ASABEtype]],ASABECoefficients[],9)</f>
        <v>0.58537933558730071</v>
      </c>
      <c r="AX23" s="91">
        <f>Power1[[#This Row],[TradeIn%]]*Power1[[#This Row],[PriceL]]</f>
        <v>404562.16303922341</v>
      </c>
      <c r="AY23" s="93">
        <f>(Power1[[#This Row],[PriceP]]-Power1[[#This Row],[TradeIn$]])/Power1[[#This Row],[Life (yr)]]/Power1[[#This Row],[Use (hr/yr)]]</f>
        <v>51.770913562089667</v>
      </c>
      <c r="AZ23" s="93">
        <f>((Power1[[#This Row],[PriceP]]+Power1[[#This Row],[TradeIn$]])/2*($BR$7+$BR$8+$BR$9)+Power1[[#This Row],[Shed (ft^2)]]*$BR$12)/Power1[[#This Row],[Use (hr/yr)]]</f>
        <v>94.508451880222523</v>
      </c>
      <c r="BA23" s="96">
        <f>Power1[[#This Row],[PriceL]]*(VLOOKUP(Power1[[#This Row],[ASABEtype]],ASABECoefficients[],2)*(Power1[[#This Row],[Life (yr)]]*Power1[[#This Row],[Use (hr/yr)]]/1000)^VLOOKUP(Power1[[#This Row],[ASABEtype]],ASABECoefficients[],3))/Power1[[#This Row],[Life (yr)]]/Power1[[#This Row],[Use (hr/yr)]]</f>
        <v>87.08</v>
      </c>
      <c r="BB23" s="95">
        <f>Power1[[#This Row],[Fuel (gal/hph)]]*Power1[[#This Row],[HP]]*(1+$BR$11)</f>
        <v>16.5</v>
      </c>
      <c r="BC23" s="93">
        <f t="shared" si="4"/>
        <v>146.27936544231218</v>
      </c>
      <c r="BE23" s="67" t="s">
        <v>577</v>
      </c>
      <c r="BF23" s="97">
        <v>0.1</v>
      </c>
      <c r="BG23" s="97">
        <v>1.8</v>
      </c>
      <c r="BH23" s="97">
        <v>3000</v>
      </c>
      <c r="BI23" s="97">
        <v>0.80910000000000004</v>
      </c>
      <c r="BJ23" s="97">
        <v>0.1109</v>
      </c>
      <c r="BK23" s="97">
        <v>0</v>
      </c>
      <c r="BL23" s="97">
        <v>1.4E-3</v>
      </c>
      <c r="BM23" s="64">
        <f t="shared" si="5"/>
        <v>1.605289E-2</v>
      </c>
      <c r="BN23" s="97">
        <v>0.12670000000000001</v>
      </c>
      <c r="BO23" s="98"/>
      <c r="BQ23" s="59" t="s">
        <v>811</v>
      </c>
    </row>
    <row r="24" spans="2:70">
      <c r="B24" s="275" t="s">
        <v>692</v>
      </c>
      <c r="C24" s="275" t="s">
        <v>680</v>
      </c>
      <c r="D24" s="277">
        <f>IF(ISBLANK(C24),"",VLOOKUP(C24,Power1[],17,FALSE)*VLOOKUP(B24,Implements7[],23,FALSE))</f>
        <v>0.83187499999999981</v>
      </c>
      <c r="E24" s="277">
        <f>IF(ISBLANK(B24),"",VLOOKUP(B24,Implements7[],23,FALSE)*VLOOKUP(B24,Implements7[],16,FALSE))</f>
        <v>0.13882211538461536</v>
      </c>
      <c r="F24" s="124">
        <f>IFERROR(IF(ISBLANK(C24),"",D24*$BR$10+E24*$BR$6+VLOOKUP(C24,Power1[],16,FALSE)*VLOOKUP(B24,Implements7[],23,FALSE))+VLOOKUP(B24,Implements7[],22,FALSE),"")</f>
        <v>7.397874599358973</v>
      </c>
      <c r="G24" s="277">
        <f>IF(ISBLANK(B24),"",VLOOKUP(B24,Implements7[],24,FALSE)+VLOOKUP(C24,Power1[],18,FALSE)*VLOOKUP(B24,Implements7[],23,FALSE))</f>
        <v>11.79143688110536</v>
      </c>
      <c r="H24" s="283">
        <v>4</v>
      </c>
      <c r="I24" s="124">
        <f t="shared" ref="I24:I28" si="9">IF(ISBLANK(B24),"",SUM(F24:G24)*H24)</f>
        <v>76.757245921857333</v>
      </c>
      <c r="K24" s="59" t="str">
        <f>Implements7[[#This Row],[Implement type]]&amp;", "&amp;Implements7[[#This Row],[Width]]&amp;" "&amp;Implements7[[#This Row],[Width Unit]]</f>
        <v>Combine chopping corn hd, 30 Ft</v>
      </c>
      <c r="L24" s="75" t="s">
        <v>623</v>
      </c>
      <c r="M24" s="76">
        <v>30</v>
      </c>
      <c r="N24" s="75" t="s">
        <v>536</v>
      </c>
      <c r="O24" s="76">
        <v>12</v>
      </c>
      <c r="P24" s="75" t="s">
        <v>569</v>
      </c>
      <c r="Q24" s="77">
        <v>169500</v>
      </c>
      <c r="R24" s="78">
        <v>0.2</v>
      </c>
      <c r="S24" s="79">
        <f t="shared" si="0"/>
        <v>211875</v>
      </c>
      <c r="T24" s="76">
        <v>12</v>
      </c>
      <c r="U24" s="76">
        <v>200</v>
      </c>
      <c r="V24" s="80">
        <f t="shared" si="1"/>
        <v>2036.3636363636363</v>
      </c>
      <c r="W24" s="76" t="s">
        <v>542</v>
      </c>
      <c r="X24" s="76">
        <v>4</v>
      </c>
      <c r="Y24" s="78">
        <v>0.7</v>
      </c>
      <c r="Z24" s="78">
        <v>1.1100000000000001</v>
      </c>
      <c r="AA24" s="76">
        <v>160</v>
      </c>
      <c r="AB24" s="99">
        <f>(VLOOKUP(Implements7[[#This Row],[ASABEtype]],ASABECoefficients[],5)-VLOOKUP(Implements7[[#This Row],[ASABEtype]],ASABECoefficients[],6)*Implements7[[#This Row],[Life (yr)]]^0.5-VLOOKUP(Implements7[[#This Row],[ASABEtype]],ASABECoefficients[],7)*Implements7[[#This Row],[Use (hr/yr)]]^0.5+VLOOKUP(Implements7[[#This Row],[ASABEtype]],ASABECoefficients[],8)*$BR$17)^2+0.25*VLOOKUP(Implements7[[#This Row],[ASABEtype]],ASABECoefficients[],9)</f>
        <v>0.34143443659524941</v>
      </c>
      <c r="AC24" s="100">
        <f>Implements7[[#This Row],[TradeIn%]]*Implements7[[#This Row],[PriceL]]</f>
        <v>72341.421253618464</v>
      </c>
      <c r="AD24" s="101">
        <f>(Implements7[[#This Row],[PriceP]]-Implements7[[#This Row],[TradeIn$]])/Implements7[[#This Row],[Life (yr)]]/Implements7[[#This Row],[Use (ac/yr)]]</f>
        <v>3.9759835052462686</v>
      </c>
      <c r="AE24" s="84">
        <f>((Implements7[[#This Row],[PriceP]]+Implements7[[#This Row],[TradeIn$]])/2*($BR$7+$BR$8+$BR$9)+Implements7[[#This Row],[Shed (ft^2)]]*$BR$12)/Implements7[[#This Row],[Use (ac/yr)]]</f>
        <v>3.8468277566069995</v>
      </c>
      <c r="AF24" s="102">
        <f>Implements7[[#This Row],[PriceL]]*(VLOOKUP(Implements7[[#This Row],[ASABEtype]],ASABECoefficients[],2)*(Implements7[[#This Row],[Life (yr)]]*Implements7[[#This Row],[Use (hr/yr)]]/1000)^VLOOKUP(Implements7[[#This Row],[ASABEtype]],ASABECoefficients[],3))/Implements7[[#This Row],[Life (yr)]]/Implements7[[#This Row],[Use (ac/yr)]]</f>
        <v>8.2698361706986461</v>
      </c>
      <c r="AG24" s="61">
        <f>$BR$18/(Implements7[[#This Row],[Width]]*Implements7[[#This Row],[Speed]]*Implements7[[#This Row],[Efficiency]])</f>
        <v>9.8214285714285712E-2</v>
      </c>
      <c r="AH24" s="86">
        <f>SUM(Implements7[[#This Row],[Depr ($/ac)]:[OH (interest, insurance, taxes, housing) ($/ac)]])</f>
        <v>7.8228112618532677</v>
      </c>
      <c r="AI24" s="87">
        <v>51</v>
      </c>
      <c r="AJ24" s="59" t="s">
        <v>739</v>
      </c>
      <c r="AK24" s="86"/>
      <c r="BE24" s="67" t="s">
        <v>578</v>
      </c>
      <c r="BF24" s="97">
        <v>0.43</v>
      </c>
      <c r="BG24" s="97">
        <v>1.8</v>
      </c>
      <c r="BH24" s="97">
        <v>1500</v>
      </c>
      <c r="BI24" s="97">
        <v>0.80910000000000004</v>
      </c>
      <c r="BJ24" s="97">
        <v>0.1109</v>
      </c>
      <c r="BK24" s="97">
        <v>0</v>
      </c>
      <c r="BL24" s="97">
        <v>1.4E-3</v>
      </c>
      <c r="BM24" s="64">
        <f t="shared" si="5"/>
        <v>1.605289E-2</v>
      </c>
      <c r="BN24" s="97">
        <v>0.12670000000000001</v>
      </c>
      <c r="BO24" s="98"/>
    </row>
    <row r="25" spans="2:70" ht="15">
      <c r="B25" s="275" t="s">
        <v>693</v>
      </c>
      <c r="C25" s="275" t="s">
        <v>724</v>
      </c>
      <c r="D25" s="277">
        <f>IF(ISBLANK(C25),"",VLOOKUP(C25,Power1[],17,FALSE)*VLOOKUP(B25,Implements7[],23,FALSE))</f>
        <v>0.1559765625</v>
      </c>
      <c r="E25" s="277">
        <f>IF(ISBLANK(B25),"",VLOOKUP(B25,Implements7[],23,FALSE)*VLOOKUP(B25,Implements7[],16,FALSE))</f>
        <v>4.3828125000000002E-2</v>
      </c>
      <c r="F25" s="124">
        <f>IFERROR(IF(ISBLANK(C25),"",D25*$BR$10+E25*$BR$6+VLOOKUP(C25,Power1[],16,FALSE)*VLOOKUP(B25,Implements7[],23,FALSE))+VLOOKUP(B25,Implements7[],22,FALSE),"")</f>
        <v>1.6381674096977312</v>
      </c>
      <c r="G25" s="277">
        <f>IF(ISBLANK(B25),"",VLOOKUP(B25,Implements7[],24,FALSE)+VLOOKUP(C25,Power1[],18,FALSE)*VLOOKUP(B25,Implements7[],23,FALSE))</f>
        <v>1.6794004194562353</v>
      </c>
      <c r="H25" s="283">
        <v>4</v>
      </c>
      <c r="I25" s="124">
        <f t="shared" si="9"/>
        <v>13.270271316615865</v>
      </c>
      <c r="K25" s="59" t="str">
        <f>Implements7[[#This Row],[Implement type]]&amp;", "&amp;Implements7[[#This Row],[Width]]&amp;" "&amp;Implements7[[#This Row],[Width Unit]]</f>
        <v>Combine corn hd, 15 Ft</v>
      </c>
      <c r="L25" s="75" t="s">
        <v>622</v>
      </c>
      <c r="M25" s="76">
        <v>15</v>
      </c>
      <c r="N25" s="75" t="s">
        <v>536</v>
      </c>
      <c r="O25" s="76">
        <v>6</v>
      </c>
      <c r="P25" s="75" t="s">
        <v>569</v>
      </c>
      <c r="Q25" s="77">
        <v>64000</v>
      </c>
      <c r="R25" s="78">
        <v>0.2</v>
      </c>
      <c r="S25" s="79">
        <f t="shared" si="0"/>
        <v>80000</v>
      </c>
      <c r="T25" s="76">
        <v>12</v>
      </c>
      <c r="U25" s="76">
        <v>200</v>
      </c>
      <c r="V25" s="80">
        <f t="shared" si="1"/>
        <v>1018.1818181818181</v>
      </c>
      <c r="W25" s="76" t="s">
        <v>553</v>
      </c>
      <c r="X25" s="76">
        <v>4</v>
      </c>
      <c r="Y25" s="78">
        <v>0.7</v>
      </c>
      <c r="Z25" s="78">
        <v>1.1100000000000001</v>
      </c>
      <c r="AA25" s="76">
        <v>120</v>
      </c>
      <c r="AB25" s="99">
        <f>(VLOOKUP(Implements7[[#This Row],[ASABEtype]],ASABECoefficients[],5)-VLOOKUP(Implements7[[#This Row],[ASABEtype]],ASABECoefficients[],6)*Implements7[[#This Row],[Life (yr)]]^0.5-VLOOKUP(Implements7[[#This Row],[ASABEtype]],ASABECoefficients[],7)*Implements7[[#This Row],[Use (hr/yr)]]^0.5+VLOOKUP(Implements7[[#This Row],[ASABEtype]],ASABECoefficients[],8)*$BR$17)^2+0.25*VLOOKUP(Implements7[[#This Row],[ASABEtype]],ASABECoefficients[],9)</f>
        <v>0.13510167737495204</v>
      </c>
      <c r="AC25" s="100">
        <f>Implements7[[#This Row],[TradeIn%]]*Implements7[[#This Row],[PriceL]]</f>
        <v>10808.134189996164</v>
      </c>
      <c r="AD25" s="101">
        <f>(Implements7[[#This Row],[PriceP]]-Implements7[[#This Row],[TradeIn$]])/Implements7[[#This Row],[Life (yr)]]/Implements7[[#This Row],[Use (ac/yr)]]</f>
        <v>4.3535009219497196</v>
      </c>
      <c r="AE25" s="84">
        <f>((Implements7[[#This Row],[PriceP]]+Implements7[[#This Row],[TradeIn$]])/2*($BR$7+$BR$8+$BR$9)+Implements7[[#This Row],[Shed (ft^2)]]*$BR$12)/Implements7[[#This Row],[Use (ac/yr)]]</f>
        <v>2.4469740979673271</v>
      </c>
      <c r="AF25" s="102">
        <f>Implements7[[#This Row],[PriceL]]*(VLOOKUP(Implements7[[#This Row],[ASABEtype]],ASABECoefficients[],2)*(Implements7[[#This Row],[Life (yr)]]*Implements7[[#This Row],[Use (hr/yr)]]/1000)^VLOOKUP(Implements7[[#This Row],[ASABEtype]],ASABECoefficients[],3))/Implements7[[#This Row],[Life (yr)]]/Implements7[[#This Row],[Use (ac/yr)]]</f>
        <v>1.6465957963607134</v>
      </c>
      <c r="AG25" s="61">
        <f>$BR$18/(Implements7[[#This Row],[Width]]*Implements7[[#This Row],[Speed]]*Implements7[[#This Row],[Efficiency]])</f>
        <v>0.19642857142857142</v>
      </c>
      <c r="AH25" s="86">
        <f>SUM(Implements7[[#This Row],[Depr ($/ac)]:[OH (interest, insurance, taxes, housing) ($/ac)]])</f>
        <v>6.8004750199170463</v>
      </c>
      <c r="AI25" s="87">
        <v>46</v>
      </c>
      <c r="AJ25" s="59" t="s">
        <v>739</v>
      </c>
      <c r="AK25" s="86"/>
      <c r="AV25" s="114" t="s">
        <v>579</v>
      </c>
      <c r="BE25" s="67" t="s">
        <v>580</v>
      </c>
      <c r="BF25" s="97">
        <v>0.16</v>
      </c>
      <c r="BG25" s="97">
        <v>1.6</v>
      </c>
      <c r="BH25" s="97">
        <v>2000</v>
      </c>
      <c r="BI25" s="97">
        <v>0.86350000000000005</v>
      </c>
      <c r="BJ25" s="97">
        <v>0.1288</v>
      </c>
      <c r="BK25" s="97">
        <v>0</v>
      </c>
      <c r="BL25" s="97">
        <v>1.6999999999999999E-3</v>
      </c>
      <c r="BM25" s="64">
        <f t="shared" si="5"/>
        <v>2.4617610000000005E-2</v>
      </c>
      <c r="BN25" s="97">
        <v>0.15690000000000001</v>
      </c>
      <c r="BO25" s="98" t="s">
        <v>581</v>
      </c>
    </row>
    <row r="26" spans="2:70" ht="15">
      <c r="B26" s="275" t="s">
        <v>703</v>
      </c>
      <c r="C26" s="275" t="s">
        <v>680</v>
      </c>
      <c r="D26" s="277">
        <f>IF(ISBLANK(C26),"",VLOOKUP(C26,Power1[],17,FALSE)*VLOOKUP(B26,Implements7[],23,FALSE))</f>
        <v>0.53239999999999998</v>
      </c>
      <c r="E26" s="277">
        <f>IF(ISBLANK(B26),"",VLOOKUP(B26,Implements7[],23,FALSE)*VLOOKUP(B26,Implements7[],16,FALSE))</f>
        <v>9.3923076923076942E-2</v>
      </c>
      <c r="F26" s="124">
        <f>IFERROR(IF(ISBLANK(C26),"",D26*$BR$10+E26*$BR$6+VLOOKUP(C26,Power1[],16,FALSE)*VLOOKUP(B26,Implements7[],23,FALSE))+VLOOKUP(B26,Implements7[],22,FALSE),"")</f>
        <v>13.102327308526096</v>
      </c>
      <c r="G26" s="277">
        <f>IF(ISBLANK(B26),"",VLOOKUP(B26,Implements7[],24,FALSE)+VLOOKUP(C26,Power1[],18,FALSE)*VLOOKUP(B26,Implements7[],23,FALSE))</f>
        <v>7.3109543367017178</v>
      </c>
      <c r="H26" s="283">
        <v>4</v>
      </c>
      <c r="I26" s="124">
        <f t="shared" si="9"/>
        <v>81.653126580911248</v>
      </c>
      <c r="K26" s="59" t="str">
        <f>Implements7[[#This Row],[Implement type]]&amp;", "&amp;Implements7[[#This Row],[Width]]&amp;" "&amp;Implements7[[#This Row],[Width Unit]]</f>
        <v>Combine corn hd, 20 Ft</v>
      </c>
      <c r="L26" s="75" t="s">
        <v>622</v>
      </c>
      <c r="M26" s="76">
        <v>20</v>
      </c>
      <c r="N26" s="75" t="s">
        <v>536</v>
      </c>
      <c r="O26" s="76">
        <v>8</v>
      </c>
      <c r="P26" s="75" t="s">
        <v>569</v>
      </c>
      <c r="Q26" s="77">
        <v>83000</v>
      </c>
      <c r="R26" s="78">
        <v>0.2</v>
      </c>
      <c r="S26" s="79">
        <f t="shared" si="0"/>
        <v>103750</v>
      </c>
      <c r="T26" s="76">
        <v>12</v>
      </c>
      <c r="U26" s="76">
        <v>200</v>
      </c>
      <c r="V26" s="80">
        <f t="shared" si="1"/>
        <v>1357.5757575757575</v>
      </c>
      <c r="W26" s="76" t="s">
        <v>553</v>
      </c>
      <c r="X26" s="76">
        <v>4</v>
      </c>
      <c r="Y26" s="78">
        <v>0.7</v>
      </c>
      <c r="Z26" s="78">
        <v>1.1100000000000001</v>
      </c>
      <c r="AA26" s="76">
        <v>160</v>
      </c>
      <c r="AB26" s="99">
        <f>(VLOOKUP(Implements7[[#This Row],[ASABEtype]],ASABECoefficients[],5)-VLOOKUP(Implements7[[#This Row],[ASABEtype]],ASABECoefficients[],6)*Implements7[[#This Row],[Life (yr)]]^0.5-VLOOKUP(Implements7[[#This Row],[ASABEtype]],ASABECoefficients[],7)*Implements7[[#This Row],[Use (hr/yr)]]^0.5+VLOOKUP(Implements7[[#This Row],[ASABEtype]],ASABECoefficients[],8)*$BR$17)^2+0.25*VLOOKUP(Implements7[[#This Row],[ASABEtype]],ASABECoefficients[],9)</f>
        <v>0.13510167737495204</v>
      </c>
      <c r="AC26" s="100">
        <f>Implements7[[#This Row],[TradeIn%]]*Implements7[[#This Row],[PriceL]]</f>
        <v>14016.799027651276</v>
      </c>
      <c r="AD26" s="101">
        <f>(Implements7[[#This Row],[PriceP]]-Implements7[[#This Row],[TradeIn$]])/Implements7[[#This Row],[Life (yr)]]/Implements7[[#This Row],[Use (ac/yr)]]</f>
        <v>4.2344598811151561</v>
      </c>
      <c r="AE26" s="84">
        <f>((Implements7[[#This Row],[PriceP]]+Implements7[[#This Row],[TradeIn$]])/2*($BR$7+$BR$8+$BR$9)+Implements7[[#This Row],[Shed (ft^2)]]*$BR$12)/Implements7[[#This Row],[Use (ac/yr)]]</f>
        <v>2.3831881095252951</v>
      </c>
      <c r="AF26" s="102">
        <f>Implements7[[#This Row],[PriceL]]*(VLOOKUP(Implements7[[#This Row],[ASABEtype]],ASABECoefficients[],2)*(Implements7[[#This Row],[Life (yr)]]*Implements7[[#This Row],[Use (hr/yr)]]/1000)^VLOOKUP(Implements7[[#This Row],[ASABEtype]],ASABECoefficients[],3))/Implements7[[#This Row],[Life (yr)]]/Implements7[[#This Row],[Use (ac/yr)]]</f>
        <v>1.6015716925539754</v>
      </c>
      <c r="AG26" s="61">
        <f>$BR$18/(Implements7[[#This Row],[Width]]*Implements7[[#This Row],[Speed]]*Implements7[[#This Row],[Efficiency]])</f>
        <v>0.14732142857142858</v>
      </c>
      <c r="AH26" s="86">
        <f>SUM(Implements7[[#This Row],[Depr ($/ac)]:[OH (interest, insurance, taxes, housing) ($/ac)]])</f>
        <v>6.6176479906404513</v>
      </c>
      <c r="AI26" s="87">
        <v>47</v>
      </c>
      <c r="AJ26" s="59" t="s">
        <v>739</v>
      </c>
      <c r="AK26" s="86"/>
      <c r="AV26" s="114" t="s">
        <v>582</v>
      </c>
      <c r="BE26" s="67" t="s">
        <v>547</v>
      </c>
      <c r="BF26" s="97">
        <v>5.0000000000000001E-3</v>
      </c>
      <c r="BG26" s="97">
        <v>2</v>
      </c>
      <c r="BH26" s="97">
        <v>16000</v>
      </c>
      <c r="BI26" s="97">
        <v>0.86409999999999998</v>
      </c>
      <c r="BJ26" s="97">
        <v>0.15640000000000001</v>
      </c>
      <c r="BK26" s="97">
        <v>3.3999999999999998E-3</v>
      </c>
      <c r="BL26" s="97">
        <v>4.5999999999999999E-3</v>
      </c>
      <c r="BM26" s="64">
        <f t="shared" si="5"/>
        <v>7.3959999999999989E-3</v>
      </c>
      <c r="BN26" s="97">
        <v>8.5999999999999993E-2</v>
      </c>
      <c r="BO26" s="98" t="s">
        <v>581</v>
      </c>
    </row>
    <row r="27" spans="2:70">
      <c r="B27" s="275"/>
      <c r="C27" s="275"/>
      <c r="D27" s="277" t="str">
        <f>IF(ISBLANK(C27),"",VLOOKUP(C27,Power1[],17,FALSE)*VLOOKUP(B27,Implements7[],23,FALSE))</f>
        <v/>
      </c>
      <c r="E27" s="277" t="str">
        <f>IF(ISBLANK(B27),"",VLOOKUP(B27,Implements7[],23,FALSE)*VLOOKUP(B27,Implements7[],16,FALSE))</f>
        <v/>
      </c>
      <c r="F27" s="124" t="str">
        <f>IFERROR(IF(ISBLANK(C27),"",D27*$BR$10+E27*$BR$6+VLOOKUP(C27,Power1[],16,FALSE)*VLOOKUP(B27,Implements7[],23,FALSE))+VLOOKUP(B27,Implements7[],22,FALSE),"")</f>
        <v/>
      </c>
      <c r="G27" s="277" t="str">
        <f>IF(ISBLANK(B27),"",VLOOKUP(B27,Implements7[],24,FALSE)+VLOOKUP(C27,Power1[],18,FALSE)*VLOOKUP(B27,Implements7[],23,FALSE))</f>
        <v/>
      </c>
      <c r="H27" s="283"/>
      <c r="I27" s="124" t="str">
        <f t="shared" si="9"/>
        <v/>
      </c>
      <c r="K27" s="59" t="str">
        <f>Implements7[[#This Row],[Implement type]]&amp;", "&amp;Implements7[[#This Row],[Width]]&amp;" "&amp;Implements7[[#This Row],[Width Unit]]</f>
        <v>Combine corn hd, 22 Ft</v>
      </c>
      <c r="L27" s="75" t="s">
        <v>622</v>
      </c>
      <c r="M27" s="76">
        <v>22</v>
      </c>
      <c r="N27" s="75" t="s">
        <v>536</v>
      </c>
      <c r="O27" s="76">
        <v>12</v>
      </c>
      <c r="P27" s="75" t="s">
        <v>569</v>
      </c>
      <c r="Q27" s="77">
        <v>121500</v>
      </c>
      <c r="R27" s="78">
        <v>0.2</v>
      </c>
      <c r="S27" s="79">
        <f t="shared" si="0"/>
        <v>151875</v>
      </c>
      <c r="T27" s="76">
        <v>12</v>
      </c>
      <c r="U27" s="76">
        <v>200</v>
      </c>
      <c r="V27" s="80">
        <f t="shared" si="1"/>
        <v>1493.333333333333</v>
      </c>
      <c r="W27" s="76" t="s">
        <v>553</v>
      </c>
      <c r="X27" s="76">
        <v>4</v>
      </c>
      <c r="Y27" s="78">
        <v>0.7</v>
      </c>
      <c r="Z27" s="78">
        <v>1.1100000000000001</v>
      </c>
      <c r="AA27" s="76">
        <v>160</v>
      </c>
      <c r="AB27" s="99">
        <f>(VLOOKUP(Implements7[[#This Row],[ASABEtype]],ASABECoefficients[],5)-VLOOKUP(Implements7[[#This Row],[ASABEtype]],ASABECoefficients[],6)*Implements7[[#This Row],[Life (yr)]]^0.5-VLOOKUP(Implements7[[#This Row],[ASABEtype]],ASABECoefficients[],7)*Implements7[[#This Row],[Use (hr/yr)]]^0.5+VLOOKUP(Implements7[[#This Row],[ASABEtype]],ASABECoefficients[],8)*$BR$17)^2+0.25*VLOOKUP(Implements7[[#This Row],[ASABEtype]],ASABECoefficients[],9)</f>
        <v>0.13510167737495204</v>
      </c>
      <c r="AC27" s="100">
        <f>Implements7[[#This Row],[TradeIn%]]*Implements7[[#This Row],[PriceL]]</f>
        <v>20518.567251320841</v>
      </c>
      <c r="AD27" s="101">
        <f>(Implements7[[#This Row],[PriceP]]-Implements7[[#This Row],[TradeIn$]])/Implements7[[#This Row],[Life (yr)]]/Implements7[[#This Row],[Use (ac/yr)]]</f>
        <v>5.6351245953504003</v>
      </c>
      <c r="AE27" s="84">
        <f>((Implements7[[#This Row],[PriceP]]+Implements7[[#This Row],[TradeIn$]])/2*($BR$7+$BR$8+$BR$9)+Implements7[[#This Row],[Shed (ft^2)]]*$BR$12)/Implements7[[#This Row],[Use (ac/yr)]]</f>
        <v>3.1233244716534712</v>
      </c>
      <c r="AF27" s="102">
        <f>Implements7[[#This Row],[PriceL]]*(VLOOKUP(Implements7[[#This Row],[ASABEtype]],ASABECoefficients[],2)*(Implements7[[#This Row],[Life (yr)]]*Implements7[[#This Row],[Use (hr/yr)]]/1000)^VLOOKUP(Implements7[[#This Row],[ASABEtype]],ASABECoefficients[],3))/Implements7[[#This Row],[Life (yr)]]/Implements7[[#This Row],[Use (ac/yr)]]</f>
        <v>2.1313358230592332</v>
      </c>
      <c r="AG27" s="61">
        <f>$BR$18/(Implements7[[#This Row],[Width]]*Implements7[[#This Row],[Speed]]*Implements7[[#This Row],[Efficiency]])</f>
        <v>0.13392857142857145</v>
      </c>
      <c r="AH27" s="86">
        <f>SUM(Implements7[[#This Row],[Depr ($/ac)]:[OH (interest, insurance, taxes, housing) ($/ac)]])</f>
        <v>8.7584490670038715</v>
      </c>
      <c r="AI27" s="87">
        <v>50</v>
      </c>
      <c r="AJ27" s="59" t="s">
        <v>739</v>
      </c>
      <c r="AK27" s="86"/>
      <c r="BE27" s="67" t="s">
        <v>584</v>
      </c>
      <c r="BF27" s="97">
        <v>0.28999999999999998</v>
      </c>
      <c r="BG27" s="97">
        <v>1.8</v>
      </c>
      <c r="BH27" s="97">
        <v>2000</v>
      </c>
      <c r="BI27" s="97">
        <v>0.69269999999999998</v>
      </c>
      <c r="BJ27" s="97">
        <v>7.0300000000000001E-2</v>
      </c>
      <c r="BK27" s="97">
        <v>0</v>
      </c>
      <c r="BL27" s="97">
        <v>1.1999999999999999E-3</v>
      </c>
      <c r="BM27" s="64">
        <f t="shared" si="5"/>
        <v>1.4957290000000002E-2</v>
      </c>
      <c r="BN27" s="97">
        <v>0.12230000000000001</v>
      </c>
      <c r="BO27" s="98"/>
    </row>
    <row r="28" spans="2:70">
      <c r="B28" s="275"/>
      <c r="C28" s="275"/>
      <c r="D28" s="277" t="str">
        <f>IF(ISBLANK(C28),"",VLOOKUP(C28,Power1[],17,FALSE)*VLOOKUP(B28,Implements7[],23,FALSE))</f>
        <v/>
      </c>
      <c r="E28" s="277" t="str">
        <f>IF(ISBLANK(B28),"",VLOOKUP(B28,Implements7[],23,FALSE)*VLOOKUP(B28,Implements7[],16,FALSE))</f>
        <v/>
      </c>
      <c r="F28" s="124" t="str">
        <f>IFERROR(IF(ISBLANK(C28),"",D28*$BR$10+E28*$BR$6+VLOOKUP(C28,Power1[],16,FALSE)*VLOOKUP(B28,Implements7[],23,FALSE))+VLOOKUP(B28,Implements7[],22,FALSE),"")</f>
        <v/>
      </c>
      <c r="G28" s="277" t="str">
        <f>IF(ISBLANK(B28),"",VLOOKUP(B28,Implements7[],24,FALSE)+VLOOKUP(C28,Power1[],18,FALSE)*VLOOKUP(B28,Implements7[],23,FALSE))</f>
        <v/>
      </c>
      <c r="H28" s="283"/>
      <c r="I28" s="124" t="str">
        <f t="shared" si="9"/>
        <v/>
      </c>
      <c r="K28" s="59" t="str">
        <f>Implements7[[#This Row],[Implement type]]&amp;", "&amp;Implements7[[#This Row],[Width]]&amp;" "&amp;Implements7[[#This Row],[Width Unit]]</f>
        <v>Combine corn hd, 30 Ft</v>
      </c>
      <c r="L28" s="75" t="s">
        <v>622</v>
      </c>
      <c r="M28" s="76">
        <v>30</v>
      </c>
      <c r="N28" s="75" t="s">
        <v>536</v>
      </c>
      <c r="O28" s="76">
        <v>12</v>
      </c>
      <c r="P28" s="75" t="s">
        <v>569</v>
      </c>
      <c r="Q28" s="77">
        <v>129000</v>
      </c>
      <c r="R28" s="78">
        <v>0.2</v>
      </c>
      <c r="S28" s="79">
        <f t="shared" si="0"/>
        <v>161250</v>
      </c>
      <c r="T28" s="76">
        <v>12</v>
      </c>
      <c r="U28" s="76">
        <v>200</v>
      </c>
      <c r="V28" s="80">
        <f t="shared" si="1"/>
        <v>2036.3636363636363</v>
      </c>
      <c r="W28" s="76" t="s">
        <v>553</v>
      </c>
      <c r="X28" s="76">
        <v>4</v>
      </c>
      <c r="Y28" s="78">
        <v>0.7</v>
      </c>
      <c r="Z28" s="78">
        <v>1.1100000000000001</v>
      </c>
      <c r="AA28" s="76">
        <v>160</v>
      </c>
      <c r="AB28" s="99">
        <f>(VLOOKUP(Implements7[[#This Row],[ASABEtype]],ASABECoefficients[],5)-VLOOKUP(Implements7[[#This Row],[ASABEtype]],ASABECoefficients[],6)*Implements7[[#This Row],[Life (yr)]]^0.5-VLOOKUP(Implements7[[#This Row],[ASABEtype]],ASABECoefficients[],7)*Implements7[[#This Row],[Use (hr/yr)]]^0.5+VLOOKUP(Implements7[[#This Row],[ASABEtype]],ASABECoefficients[],8)*$BR$17)^2+0.25*VLOOKUP(Implements7[[#This Row],[ASABEtype]],ASABECoefficients[],9)</f>
        <v>0.13510167737495204</v>
      </c>
      <c r="AC28" s="100">
        <f>Implements7[[#This Row],[TradeIn%]]*Implements7[[#This Row],[PriceL]]</f>
        <v>21785.145476711019</v>
      </c>
      <c r="AD28" s="101">
        <f>(Implements7[[#This Row],[PriceP]]-Implements7[[#This Row],[TradeIn$]])/Implements7[[#This Row],[Life (yr)]]/Implements7[[#This Row],[Use (ac/yr)]]</f>
        <v>4.3875126479024509</v>
      </c>
      <c r="AE28" s="84">
        <f>((Implements7[[#This Row],[PriceP]]+Implements7[[#This Row],[TradeIn$]])/2*($BR$7+$BR$8+$BR$9)+Implements7[[#This Row],[Shed (ft^2)]]*$BR$12)/Implements7[[#This Row],[Use (ac/yr)]]</f>
        <v>2.4271222068264224</v>
      </c>
      <c r="AF28" s="102">
        <f>Implements7[[#This Row],[PriceL]]*(VLOOKUP(Implements7[[#This Row],[ASABEtype]],ASABECoefficients[],2)*(Implements7[[#This Row],[Life (yr)]]*Implements7[[#This Row],[Use (hr/yr)]]/1000)^VLOOKUP(Implements7[[#This Row],[ASABEtype]],ASABECoefficients[],3))/Implements7[[#This Row],[Life (yr)]]/Implements7[[#This Row],[Use (ac/yr)]]</f>
        <v>1.6594598260197817</v>
      </c>
      <c r="AG28" s="61">
        <f>$BR$18/(Implements7[[#This Row],[Width]]*Implements7[[#This Row],[Speed]]*Implements7[[#This Row],[Efficiency]])</f>
        <v>9.8214285714285712E-2</v>
      </c>
      <c r="AH28" s="86">
        <f>SUM(Implements7[[#This Row],[Depr ($/ac)]:[OH (interest, insurance, taxes, housing) ($/ac)]])</f>
        <v>6.8146348547288733</v>
      </c>
      <c r="AI28" s="87">
        <v>49</v>
      </c>
      <c r="AJ28" s="59" t="s">
        <v>739</v>
      </c>
      <c r="AK28" s="86"/>
      <c r="BE28" s="67" t="s">
        <v>586</v>
      </c>
      <c r="BF28" s="97">
        <v>0.46</v>
      </c>
      <c r="BG28" s="97">
        <v>1.7</v>
      </c>
      <c r="BH28" s="97">
        <v>2000</v>
      </c>
      <c r="BI28" s="97">
        <v>0.90229999999999999</v>
      </c>
      <c r="BJ28" s="97">
        <v>9.4299999999999995E-2</v>
      </c>
      <c r="BK28" s="97">
        <v>0</v>
      </c>
      <c r="BL28" s="97">
        <v>-4.0000000000000002E-4</v>
      </c>
      <c r="BM28" s="64">
        <f t="shared" si="5"/>
        <v>1.1513290000000001E-2</v>
      </c>
      <c r="BN28" s="97">
        <v>0.10730000000000001</v>
      </c>
      <c r="BO28" s="98"/>
    </row>
    <row r="29" spans="2:70">
      <c r="B29" s="279" t="s">
        <v>403</v>
      </c>
      <c r="C29" s="279"/>
      <c r="D29" s="280"/>
      <c r="E29" s="280"/>
      <c r="F29" s="284">
        <v>7</v>
      </c>
      <c r="G29" s="284">
        <v>7</v>
      </c>
      <c r="H29" s="280"/>
      <c r="I29" s="281">
        <f>SUM(F29+G29)</f>
        <v>14</v>
      </c>
      <c r="K29" s="59" t="str">
        <f>Implements7[[#This Row],[Implement type]]&amp;", "&amp;Implements7[[#This Row],[Width]]&amp;" "&amp;Implements7[[#This Row],[Width Unit]]</f>
        <v>Combine platform, 20 Ft</v>
      </c>
      <c r="L29" s="75" t="s">
        <v>620</v>
      </c>
      <c r="M29" s="76">
        <v>20</v>
      </c>
      <c r="N29" s="75" t="s">
        <v>536</v>
      </c>
      <c r="O29" s="76"/>
      <c r="P29" s="76"/>
      <c r="Q29" s="77">
        <v>36000</v>
      </c>
      <c r="R29" s="78">
        <v>0.2</v>
      </c>
      <c r="S29" s="79">
        <f t="shared" si="0"/>
        <v>45000</v>
      </c>
      <c r="T29" s="76">
        <v>12</v>
      </c>
      <c r="U29" s="76">
        <v>199.99999999999997</v>
      </c>
      <c r="V29" s="80">
        <f t="shared" si="1"/>
        <v>1187.8787878787878</v>
      </c>
      <c r="W29" s="76" t="s">
        <v>553</v>
      </c>
      <c r="X29" s="76">
        <v>3.5</v>
      </c>
      <c r="Y29" s="78">
        <v>0.7</v>
      </c>
      <c r="Z29" s="78">
        <v>1.1100000000000001</v>
      </c>
      <c r="AA29" s="76">
        <v>108</v>
      </c>
      <c r="AB29" s="99">
        <f>(VLOOKUP(Implements7[[#This Row],[ASABEtype]],ASABECoefficients[],5)-VLOOKUP(Implements7[[#This Row],[ASABEtype]],ASABECoefficients[],6)*Implements7[[#This Row],[Life (yr)]]^0.5-VLOOKUP(Implements7[[#This Row],[ASABEtype]],ASABECoefficients[],7)*Implements7[[#This Row],[Use (hr/yr)]]^0.5+VLOOKUP(Implements7[[#This Row],[ASABEtype]],ASABECoefficients[],8)*$BR$17)^2+0.25*VLOOKUP(Implements7[[#This Row],[ASABEtype]],ASABECoefficients[],9)</f>
        <v>0.1351016773749521</v>
      </c>
      <c r="AC29" s="100">
        <f>Implements7[[#This Row],[TradeIn%]]*Implements7[[#This Row],[PriceL]]</f>
        <v>6079.5754818728446</v>
      </c>
      <c r="AD29" s="101">
        <f>(Implements7[[#This Row],[PriceP]]-Implements7[[#This Row],[TradeIn$]])/Implements7[[#This Row],[Life (yr)]]/Implements7[[#This Row],[Use (ac/yr)]]</f>
        <v>2.0990093730829003</v>
      </c>
      <c r="AE29" s="84">
        <f>((Implements7[[#This Row],[PriceP]]+Implements7[[#This Row],[TradeIn$]])/2*($BR$7+$BR$8+$BR$9)+Implements7[[#This Row],[Shed (ft^2)]]*$BR$12)/Implements7[[#This Row],[Use (ac/yr)]]</f>
        <v>1.2128360100982809</v>
      </c>
      <c r="AF29" s="102">
        <f>Implements7[[#This Row],[PriceL]]*(VLOOKUP(Implements7[[#This Row],[ASABEtype]],ASABECoefficients[],2)*(Implements7[[#This Row],[Life (yr)]]*Implements7[[#This Row],[Use (hr/yr)]]/1000)^VLOOKUP(Implements7[[#This Row],[ASABEtype]],ASABECoefficients[],3))/Implements7[[#This Row],[Life (yr)]]/Implements7[[#This Row],[Use (ac/yr)]]</f>
        <v>0.7938944018167724</v>
      </c>
      <c r="AG29" s="61">
        <f>$BR$18/(Implements7[[#This Row],[Width]]*Implements7[[#This Row],[Speed]]*Implements7[[#This Row],[Efficiency]])</f>
        <v>0.1683673469387755</v>
      </c>
      <c r="AH29" s="86">
        <f>SUM(Implements7[[#This Row],[Depr ($/ac)]:[OH (interest, insurance, taxes, housing) ($/ac)]])</f>
        <v>3.3118453831811809</v>
      </c>
      <c r="AI29" s="87">
        <v>43</v>
      </c>
      <c r="AJ29" s="59" t="s">
        <v>739</v>
      </c>
      <c r="AK29" s="86"/>
      <c r="BE29" s="67" t="s">
        <v>589</v>
      </c>
      <c r="BF29" s="97">
        <v>0.44</v>
      </c>
      <c r="BG29" s="97">
        <v>2</v>
      </c>
      <c r="BH29" s="97">
        <v>2000</v>
      </c>
      <c r="BI29" s="97">
        <v>0.90229999999999999</v>
      </c>
      <c r="BJ29" s="97">
        <v>9.4299999999999995E-2</v>
      </c>
      <c r="BK29" s="97">
        <v>0</v>
      </c>
      <c r="BL29" s="97">
        <v>-4.0000000000000002E-4</v>
      </c>
      <c r="BM29" s="64">
        <f t="shared" si="5"/>
        <v>1.1513290000000001E-2</v>
      </c>
      <c r="BN29" s="97">
        <v>0.10730000000000001</v>
      </c>
      <c r="BO29" s="98"/>
    </row>
    <row r="30" spans="2:70" ht="16.5">
      <c r="B30" s="31"/>
      <c r="C30" s="282" t="s">
        <v>424</v>
      </c>
      <c r="D30" s="125">
        <f t="shared" ref="D30:G30" si="10">SUM(D23:D29)</f>
        <v>1.6567643830128203</v>
      </c>
      <c r="E30" s="125">
        <f t="shared" si="10"/>
        <v>0.30369363288954632</v>
      </c>
      <c r="F30" s="125">
        <f t="shared" si="10"/>
        <v>30.628828535179437</v>
      </c>
      <c r="G30" s="125">
        <f t="shared" si="10"/>
        <v>32.975419307831686</v>
      </c>
      <c r="H30" s="125"/>
      <c r="I30" s="125">
        <f>SUM(I23:I29)</f>
        <v>199.04881759571447</v>
      </c>
      <c r="K30" s="59" t="str">
        <f>Implements7[[#This Row],[Implement type]]&amp;", "&amp;Implements7[[#This Row],[Width]]&amp;" "&amp;Implements7[[#This Row],[Width Unit]]</f>
        <v>Combine platform, 25 Ft</v>
      </c>
      <c r="L30" s="75" t="s">
        <v>620</v>
      </c>
      <c r="M30" s="76">
        <v>25</v>
      </c>
      <c r="N30" s="75" t="s">
        <v>536</v>
      </c>
      <c r="O30" s="76"/>
      <c r="P30" s="76"/>
      <c r="Q30" s="77">
        <v>43500</v>
      </c>
      <c r="R30" s="78">
        <v>0.2</v>
      </c>
      <c r="S30" s="79">
        <f t="shared" si="0"/>
        <v>54375</v>
      </c>
      <c r="T30" s="76">
        <v>12</v>
      </c>
      <c r="U30" s="76">
        <v>200</v>
      </c>
      <c r="V30" s="80">
        <f t="shared" si="1"/>
        <v>1484.8484848484845</v>
      </c>
      <c r="W30" s="76" t="s">
        <v>553</v>
      </c>
      <c r="X30" s="76">
        <v>3.5</v>
      </c>
      <c r="Y30" s="78">
        <v>0.7</v>
      </c>
      <c r="Z30" s="78">
        <v>1.1100000000000001</v>
      </c>
      <c r="AA30" s="76">
        <v>108</v>
      </c>
      <c r="AB30" s="99">
        <f>(VLOOKUP(Implements7[[#This Row],[ASABEtype]],ASABECoefficients[],5)-VLOOKUP(Implements7[[#This Row],[ASABEtype]],ASABECoefficients[],6)*Implements7[[#This Row],[Life (yr)]]^0.5-VLOOKUP(Implements7[[#This Row],[ASABEtype]],ASABECoefficients[],7)*Implements7[[#This Row],[Use (hr/yr)]]^0.5+VLOOKUP(Implements7[[#This Row],[ASABEtype]],ASABECoefficients[],8)*$BR$17)^2+0.25*VLOOKUP(Implements7[[#This Row],[ASABEtype]],ASABECoefficients[],9)</f>
        <v>0.13510167737495204</v>
      </c>
      <c r="AC30" s="100">
        <f>Implements7[[#This Row],[TradeIn%]]*Implements7[[#This Row],[PriceL]]</f>
        <v>7346.1537072630172</v>
      </c>
      <c r="AD30" s="101">
        <f>(Implements7[[#This Row],[PriceP]]-Implements7[[#This Row],[TradeIn$]])/Implements7[[#This Row],[Life (yr)]]/Implements7[[#This Row],[Use (ac/yr)]]</f>
        <v>2.0290423939801374</v>
      </c>
      <c r="AE30" s="84">
        <f>((Implements7[[#This Row],[PriceP]]+Implements7[[#This Row],[TradeIn$]])/2*($BR$7+$BR$8+$BR$9)+Implements7[[#This Row],[Shed (ft^2)]]*$BR$12)/Implements7[[#This Row],[Use (ac/yr)]]</f>
        <v>1.1577215088062278</v>
      </c>
      <c r="AF30" s="102">
        <f>Implements7[[#This Row],[PriceL]]*(VLOOKUP(Implements7[[#This Row],[ASABEtype]],ASABECoefficients[],2)*(Implements7[[#This Row],[Life (yr)]]*Implements7[[#This Row],[Use (hr/yr)]]/1000)^VLOOKUP(Implements7[[#This Row],[ASABEtype]],ASABECoefficients[],3))/Implements7[[#This Row],[Life (yr)]]/Implements7[[#This Row],[Use (ac/yr)]]</f>
        <v>0.76743125508954679</v>
      </c>
      <c r="AG30" s="61">
        <f>$BR$18/(Implements7[[#This Row],[Width]]*Implements7[[#This Row],[Speed]]*Implements7[[#This Row],[Efficiency]])</f>
        <v>0.13469387755102041</v>
      </c>
      <c r="AH30" s="86">
        <f>SUM(Implements7[[#This Row],[Depr ($/ac)]:[OH (interest, insurance, taxes, housing) ($/ac)]])</f>
        <v>3.1867639027863652</v>
      </c>
      <c r="AI30" s="87">
        <v>44</v>
      </c>
      <c r="AJ30" s="59" t="s">
        <v>739</v>
      </c>
      <c r="AK30" s="86"/>
      <c r="BE30" s="67" t="s">
        <v>592</v>
      </c>
      <c r="BF30" s="97">
        <v>0.18</v>
      </c>
      <c r="BG30" s="97">
        <v>1.6</v>
      </c>
      <c r="BH30" s="97">
        <v>2500</v>
      </c>
      <c r="BI30" s="97">
        <v>0.72430000000000005</v>
      </c>
      <c r="BJ30" s="97">
        <v>0.11269999999999999</v>
      </c>
      <c r="BK30" s="97">
        <v>0</v>
      </c>
      <c r="BL30" s="97">
        <v>3.3999999999999998E-3</v>
      </c>
      <c r="BM30" s="64">
        <f t="shared" si="5"/>
        <v>1.4113440000000001E-2</v>
      </c>
      <c r="BN30" s="97">
        <v>0.1188</v>
      </c>
      <c r="BO30" s="98"/>
    </row>
    <row r="31" spans="2:70">
      <c r="K31" s="59" t="str">
        <f>Implements7[[#This Row],[Implement type]]&amp;", "&amp;Implements7[[#This Row],[Width]]&amp;" "&amp;Implements7[[#This Row],[Width Unit]]</f>
        <v>Combine platform, 30 Ft</v>
      </c>
      <c r="L31" s="75" t="s">
        <v>620</v>
      </c>
      <c r="M31" s="76">
        <v>30</v>
      </c>
      <c r="N31" s="75" t="s">
        <v>536</v>
      </c>
      <c r="O31" s="76"/>
      <c r="P31" s="76"/>
      <c r="Q31" s="77">
        <v>51000</v>
      </c>
      <c r="R31" s="78">
        <v>0.2</v>
      </c>
      <c r="S31" s="79">
        <f t="shared" si="0"/>
        <v>63750</v>
      </c>
      <c r="T31" s="76">
        <v>12</v>
      </c>
      <c r="U31" s="76">
        <v>200</v>
      </c>
      <c r="V31" s="80">
        <f t="shared" si="1"/>
        <v>1781.8181818181818</v>
      </c>
      <c r="W31" s="76" t="s">
        <v>553</v>
      </c>
      <c r="X31" s="76">
        <v>3.5</v>
      </c>
      <c r="Y31" s="78">
        <v>0.7</v>
      </c>
      <c r="Z31" s="78">
        <v>1.1100000000000001</v>
      </c>
      <c r="AA31" s="76">
        <v>108</v>
      </c>
      <c r="AB31" s="99">
        <f>(VLOOKUP(Implements7[[#This Row],[ASABEtype]],ASABECoefficients[],5)-VLOOKUP(Implements7[[#This Row],[ASABEtype]],ASABECoefficients[],6)*Implements7[[#This Row],[Life (yr)]]^0.5-VLOOKUP(Implements7[[#This Row],[ASABEtype]],ASABECoefficients[],7)*Implements7[[#This Row],[Use (hr/yr)]]^0.5+VLOOKUP(Implements7[[#This Row],[ASABEtype]],ASABECoefficients[],8)*$BR$17)^2+0.25*VLOOKUP(Implements7[[#This Row],[ASABEtype]],ASABECoefficients[],9)</f>
        <v>0.13510167737495204</v>
      </c>
      <c r="AC31" s="100">
        <f>Implements7[[#This Row],[TradeIn%]]*Implements7[[#This Row],[PriceL]]</f>
        <v>8612.7319326531924</v>
      </c>
      <c r="AD31" s="101">
        <f>(Implements7[[#This Row],[PriceP]]-Implements7[[#This Row],[TradeIn$]])/Implements7[[#This Row],[Life (yr)]]/Implements7[[#This Row],[Use (ac/yr)]]</f>
        <v>1.9823977412449614</v>
      </c>
      <c r="AE31" s="84">
        <f>((Implements7[[#This Row],[PriceP]]+Implements7[[#This Row],[TradeIn$]])/2*($BR$7+$BR$8+$BR$9)+Implements7[[#This Row],[Shed (ft^2)]]*$BR$12)/Implements7[[#This Row],[Use (ac/yr)]]</f>
        <v>1.1209785079448591</v>
      </c>
      <c r="AF31" s="102">
        <f>Implements7[[#This Row],[PriceL]]*(VLOOKUP(Implements7[[#This Row],[ASABEtype]],ASABECoefficients[],2)*(Implements7[[#This Row],[Life (yr)]]*Implements7[[#This Row],[Use (hr/yr)]]/1000)^VLOOKUP(Implements7[[#This Row],[ASABEtype]],ASABECoefficients[],3))/Implements7[[#This Row],[Life (yr)]]/Implements7[[#This Row],[Use (ac/yr)]]</f>
        <v>0.74978915727139628</v>
      </c>
      <c r="AG31" s="61">
        <f>$BR$18/(Implements7[[#This Row],[Width]]*Implements7[[#This Row],[Speed]]*Implements7[[#This Row],[Efficiency]])</f>
        <v>0.11224489795918367</v>
      </c>
      <c r="AH31" s="86">
        <f>SUM(Implements7[[#This Row],[Depr ($/ac)]:[OH (interest, insurance, taxes, housing) ($/ac)]])</f>
        <v>3.1033762491898207</v>
      </c>
      <c r="AI31" s="87">
        <v>45</v>
      </c>
      <c r="AJ31" s="59" t="s">
        <v>739</v>
      </c>
      <c r="AK31" s="86"/>
      <c r="BE31" s="67" t="s">
        <v>594</v>
      </c>
      <c r="BF31" s="97">
        <v>0.16</v>
      </c>
      <c r="BG31" s="97">
        <v>2</v>
      </c>
      <c r="BH31" s="97">
        <v>2500</v>
      </c>
      <c r="BI31" s="97">
        <v>0.72430000000000005</v>
      </c>
      <c r="BJ31" s="97">
        <v>0.11269999999999999</v>
      </c>
      <c r="BK31" s="97">
        <v>0</v>
      </c>
      <c r="BL31" s="97">
        <v>3.3999999999999998E-3</v>
      </c>
      <c r="BM31" s="64">
        <f t="shared" si="5"/>
        <v>1.4113440000000001E-2</v>
      </c>
      <c r="BN31" s="97">
        <v>0.1188</v>
      </c>
      <c r="BO31" s="98"/>
    </row>
    <row r="32" spans="2:70">
      <c r="B32" s="317" t="s">
        <v>705</v>
      </c>
      <c r="C32" s="317"/>
      <c r="D32" s="317"/>
      <c r="E32" s="317"/>
      <c r="F32" s="317"/>
      <c r="G32" s="317"/>
      <c r="H32" s="317"/>
      <c r="I32" s="317"/>
      <c r="K32" s="59" t="str">
        <f>Implements7[[#This Row],[Implement type]]&amp;", "&amp;Implements7[[#This Row],[Width]]&amp;" "&amp;Implements7[[#This Row],[Width Unit]]</f>
        <v>Grain cart, 30 Ft</v>
      </c>
      <c r="L32" s="75" t="s">
        <v>625</v>
      </c>
      <c r="M32" s="76">
        <v>30</v>
      </c>
      <c r="N32" s="75" t="s">
        <v>536</v>
      </c>
      <c r="O32" s="76"/>
      <c r="P32" s="75"/>
      <c r="Q32" s="77">
        <v>131500</v>
      </c>
      <c r="R32" s="78">
        <v>0.1</v>
      </c>
      <c r="S32" s="79">
        <f t="shared" si="0"/>
        <v>146111.11111111109</v>
      </c>
      <c r="T32" s="76">
        <v>12</v>
      </c>
      <c r="U32" s="76">
        <v>200</v>
      </c>
      <c r="V32" s="80">
        <f t="shared" si="1"/>
        <v>1374.5454545454545</v>
      </c>
      <c r="W32" s="76" t="s">
        <v>618</v>
      </c>
      <c r="X32" s="76">
        <v>3</v>
      </c>
      <c r="Y32" s="78">
        <v>0.63</v>
      </c>
      <c r="Z32" s="78">
        <v>1.1100000000000001</v>
      </c>
      <c r="AA32" s="76">
        <v>0</v>
      </c>
      <c r="AB32" s="99">
        <f>(VLOOKUP(Implements7[[#This Row],[ASABEtype]],ASABECoefficients[],5)-VLOOKUP(Implements7[[#This Row],[ASABEtype]],ASABECoefficients[],6)*Implements7[[#This Row],[Life (yr)]]^0.5-VLOOKUP(Implements7[[#This Row],[ASABEtype]],ASABECoefficients[],7)*Implements7[[#This Row],[Use (hr/yr)]]^0.5+VLOOKUP(Implements7[[#This Row],[ASABEtype]],ASABECoefficients[],8)*$BR$17)^2+0.25*VLOOKUP(Implements7[[#This Row],[ASABEtype]],ASABECoefficients[],9)</f>
        <v>0.29407083603500145</v>
      </c>
      <c r="AC32" s="100">
        <f>Implements7[[#This Row],[TradeIn%]]*Implements7[[#This Row],[PriceL]]</f>
        <v>42967.01659844743</v>
      </c>
      <c r="AD32" s="101">
        <f>(Implements7[[#This Row],[PriceP]]-Implements7[[#This Row],[TradeIn$]])/Implements7[[#This Row],[Life (yr)]]/Implements7[[#This Row],[Use (ac/yr)]]</f>
        <v>5.3674097079865426</v>
      </c>
      <c r="AE32" s="84">
        <f>((Implements7[[#This Row],[PriceP]]+Implements7[[#This Row],[TradeIn$]])/2*($BR$7+$BR$8+$BR$9)+Implements7[[#This Row],[Shed (ft^2)]]*$BR$12)/Implements7[[#This Row],[Use (ac/yr)]]</f>
        <v>4.0299342292994558</v>
      </c>
      <c r="AF32" s="102">
        <f>Implements7[[#This Row],[PriceL]]*(VLOOKUP(Implements7[[#This Row],[ASABEtype]],ASABECoefficients[],2)*(Implements7[[#This Row],[Life (yr)]]*Implements7[[#This Row],[Use (hr/yr)]]/1000)^VLOOKUP(Implements7[[#This Row],[ASABEtype]],ASABECoefficients[],3))/Implements7[[#This Row],[Life (yr)]]/Implements7[[#This Row],[Use (ac/yr)]]</f>
        <v>5.2525610214624514</v>
      </c>
      <c r="AG32" s="61">
        <f>$BR$18/(Implements7[[#This Row],[Width]]*Implements7[[#This Row],[Speed]]*Implements7[[#This Row],[Efficiency]])</f>
        <v>0.14550264550264549</v>
      </c>
      <c r="AH32" s="86">
        <f>SUM(Implements7[[#This Row],[Depr ($/ac)]:[OH (interest, insurance, taxes, housing) ($/ac)]])</f>
        <v>9.3973439372859993</v>
      </c>
      <c r="AI32" s="87">
        <v>54</v>
      </c>
      <c r="AJ32" s="59" t="s">
        <v>739</v>
      </c>
      <c r="AK32" s="86"/>
      <c r="BE32" s="67" t="s">
        <v>596</v>
      </c>
      <c r="BF32" s="97">
        <v>0.16</v>
      </c>
      <c r="BG32" s="97">
        <v>1.3</v>
      </c>
      <c r="BH32" s="97">
        <v>2000</v>
      </c>
      <c r="BI32" s="97">
        <v>0.71940000000000004</v>
      </c>
      <c r="BJ32" s="97">
        <v>0.11020000000000001</v>
      </c>
      <c r="BK32" s="97">
        <v>0</v>
      </c>
      <c r="BL32" s="97">
        <v>3.0000000000000001E-3</v>
      </c>
      <c r="BM32" s="64">
        <f t="shared" si="5"/>
        <v>1.4713690000000001E-2</v>
      </c>
      <c r="BN32" s="97">
        <v>0.12130000000000001</v>
      </c>
      <c r="BO32" s="98"/>
    </row>
    <row r="33" spans="2:67">
      <c r="B33" s="318" t="s">
        <v>674</v>
      </c>
      <c r="C33" s="320" t="s">
        <v>675</v>
      </c>
      <c r="D33" s="320" t="s">
        <v>676</v>
      </c>
      <c r="E33" s="320" t="s">
        <v>677</v>
      </c>
      <c r="F33" s="278" t="s">
        <v>422</v>
      </c>
      <c r="G33" s="278" t="s">
        <v>423</v>
      </c>
      <c r="H33" s="278"/>
      <c r="I33" s="321" t="s">
        <v>678</v>
      </c>
      <c r="K33" s="59" t="str">
        <f>Implements7[[#This Row],[Implement type]]&amp;", "&amp;Implements7[[#This Row],[Width]]&amp;" "&amp;Implements7[[#This Row],[Width Unit]]</f>
        <v>Disk mower, 9 Ft</v>
      </c>
      <c r="L33" s="105" t="s">
        <v>683</v>
      </c>
      <c r="M33" s="76">
        <v>9</v>
      </c>
      <c r="N33" s="75" t="str">
        <f t="shared" ref="N33:N39" si="11">IF(M33&gt;15,"Ft Folding","Ft")</f>
        <v>Ft</v>
      </c>
      <c r="O33" s="76"/>
      <c r="P33" s="105"/>
      <c r="Q33" s="77">
        <v>13500</v>
      </c>
      <c r="R33" s="78">
        <v>0.1</v>
      </c>
      <c r="S33" s="79">
        <f t="shared" si="0"/>
        <v>15000</v>
      </c>
      <c r="T33" s="76">
        <v>12</v>
      </c>
      <c r="U33" s="76">
        <v>80</v>
      </c>
      <c r="V33" s="80">
        <f t="shared" si="1"/>
        <v>453.81818181818187</v>
      </c>
      <c r="W33" s="76" t="s">
        <v>589</v>
      </c>
      <c r="X33" s="76">
        <v>6.5</v>
      </c>
      <c r="Y33" s="78">
        <v>0.8</v>
      </c>
      <c r="Z33" s="78">
        <v>1.05</v>
      </c>
      <c r="AA33" s="76">
        <v>50</v>
      </c>
      <c r="AB33" s="99">
        <f>(VLOOKUP(Implements7[[#This Row],[ASABEtype]],ASABECoefficients[],5)-VLOOKUP(Implements7[[#This Row],[ASABEtype]],ASABECoefficients[],6)*Implements7[[#This Row],[Life (yr)]]^0.5-VLOOKUP(Implements7[[#This Row],[ASABEtype]],ASABECoefficients[],7)*Implements7[[#This Row],[Use (hr/yr)]]^0.5+VLOOKUP(Implements7[[#This Row],[ASABEtype]],ASABECoefficients[],8)*$BR$17)^2+0.25*VLOOKUP(Implements7[[#This Row],[ASABEtype]],ASABECoefficients[],9)</f>
        <v>0.29790868815561528</v>
      </c>
      <c r="AC33" s="100">
        <f>Implements7[[#This Row],[TradeIn%]]*Implements7[[#This Row],[PriceL]]</f>
        <v>4468.6303223342293</v>
      </c>
      <c r="AD33" s="101">
        <f>(Implements7[[#This Row],[PriceP]]-Implements7[[#This Row],[TradeIn$]])/Implements7[[#This Row],[Life (yr)]]/Implements7[[#This Row],[Use (ac/yr)]]</f>
        <v>1.6584045548598336</v>
      </c>
      <c r="AE33" s="84">
        <f>((Implements7[[#This Row],[PriceP]]+Implements7[[#This Row],[TradeIn$]])/2*($BR$7+$BR$8+$BR$9)+Implements7[[#This Row],[Shed (ft^2)]]*$BR$12)/Implements7[[#This Row],[Use (ac/yr)]]</f>
        <v>1.3639051622227605</v>
      </c>
      <c r="AF33" s="102">
        <f>Implements7[[#This Row],[PriceL]]*(VLOOKUP(Implements7[[#This Row],[ASABEtype]],ASABECoefficients[],2)*(Implements7[[#This Row],[Life (yr)]]*Implements7[[#This Row],[Use (hr/yr)]]/1000)^VLOOKUP(Implements7[[#This Row],[ASABEtype]],ASABECoefficients[],3))/Implements7[[#This Row],[Life (yr)]]/Implements7[[#This Row],[Use (ac/yr)]]</f>
        <v>1.1169230769230767</v>
      </c>
      <c r="AG33" s="61">
        <f>$BR$18/(Implements7[[#This Row],[Width]]*Implements7[[#This Row],[Speed]]*Implements7[[#This Row],[Efficiency]])</f>
        <v>0.17628205128205127</v>
      </c>
      <c r="AH33" s="86">
        <f>SUM(Implements7[[#This Row],[Depr ($/ac)]:[OH (interest, insurance, taxes, housing) ($/ac)]])</f>
        <v>3.0223097170825941</v>
      </c>
      <c r="AI33" s="87">
        <v>28</v>
      </c>
      <c r="AJ33" s="59" t="s">
        <v>732</v>
      </c>
      <c r="AK33" s="86"/>
      <c r="BE33" s="67" t="s">
        <v>597</v>
      </c>
      <c r="BF33" s="97">
        <v>0.19</v>
      </c>
      <c r="BG33" s="97">
        <v>1.4</v>
      </c>
      <c r="BH33" s="97">
        <v>2500</v>
      </c>
      <c r="BI33" s="97">
        <v>0.80910000000000004</v>
      </c>
      <c r="BJ33" s="97">
        <v>0.1109</v>
      </c>
      <c r="BK33" s="97">
        <v>0</v>
      </c>
      <c r="BL33" s="97">
        <v>1.4E-3</v>
      </c>
      <c r="BM33" s="64">
        <f t="shared" si="5"/>
        <v>1.605289E-2</v>
      </c>
      <c r="BN33" s="97">
        <v>0.12670000000000001</v>
      </c>
      <c r="BO33" s="98"/>
    </row>
    <row r="34" spans="2:67" ht="15">
      <c r="B34" s="319"/>
      <c r="C34" s="317"/>
      <c r="D34" s="317"/>
      <c r="E34" s="317"/>
      <c r="F34" s="248" t="s">
        <v>427</v>
      </c>
      <c r="G34" s="248" t="s">
        <v>427</v>
      </c>
      <c r="H34" s="248" t="s">
        <v>698</v>
      </c>
      <c r="I34" s="322"/>
      <c r="K34" s="59" t="str">
        <f>Implements7[[#This Row],[Implement type]]&amp;", "&amp;Implements7[[#This Row],[Width]]&amp;" "&amp;Implements7[[#This Row],[Width Unit]]</f>
        <v>Disk mower/conditioner, 12 Ft</v>
      </c>
      <c r="L34" s="105" t="s">
        <v>684</v>
      </c>
      <c r="M34" s="76">
        <v>12</v>
      </c>
      <c r="N34" s="75" t="str">
        <f t="shared" si="11"/>
        <v>Ft</v>
      </c>
      <c r="O34" s="76"/>
      <c r="P34" s="76"/>
      <c r="Q34" s="77">
        <v>47000</v>
      </c>
      <c r="R34" s="78">
        <v>0.1</v>
      </c>
      <c r="S34" s="79">
        <f t="shared" si="0"/>
        <v>52222.222222222219</v>
      </c>
      <c r="T34" s="76">
        <v>12</v>
      </c>
      <c r="U34" s="76">
        <v>80</v>
      </c>
      <c r="V34" s="80">
        <f t="shared" si="1"/>
        <v>605.09090909090912</v>
      </c>
      <c r="W34" s="76" t="s">
        <v>594</v>
      </c>
      <c r="X34" s="76">
        <v>6.5</v>
      </c>
      <c r="Y34" s="78">
        <v>0.8</v>
      </c>
      <c r="Z34" s="78">
        <v>1.05</v>
      </c>
      <c r="AA34" s="76">
        <v>200</v>
      </c>
      <c r="AB34" s="99">
        <f>(VLOOKUP(Implements7[[#This Row],[ASABEtype]],ASABECoefficients[],5)-VLOOKUP(Implements7[[#This Row],[ASABEtype]],ASABECoefficients[],6)*Implements7[[#This Row],[Life (yr)]]^0.5-VLOOKUP(Implements7[[#This Row],[ASABEtype]],ASABECoefficients[],7)*Implements7[[#This Row],[Use (hr/yr)]]^0.5+VLOOKUP(Implements7[[#This Row],[ASABEtype]],ASABECoefficients[],8)*$BR$17)^2+0.25*VLOOKUP(Implements7[[#This Row],[ASABEtype]],ASABECoefficients[],9)</f>
        <v>0.3754768367568771</v>
      </c>
      <c r="AC34" s="100">
        <f>Implements7[[#This Row],[TradeIn%]]*Implements7[[#This Row],[PriceL]]</f>
        <v>19608.234808414691</v>
      </c>
      <c r="AD34" s="101">
        <f>(Implements7[[#This Row],[PriceP]]-Implements7[[#This Row],[TradeIn$]])/Implements7[[#This Row],[Life (yr)]]/Implements7[[#This Row],[Use (ac/yr)]]</f>
        <v>3.7724035595382408</v>
      </c>
      <c r="AE34" s="84">
        <f>((Implements7[[#This Row],[PriceP]]+Implements7[[#This Row],[TradeIn$]])/2*($BR$7+$BR$8+$BR$9)+Implements7[[#This Row],[Shed (ft^2)]]*$BR$12)/Implements7[[#This Row],[Use (ac/yr)]]</f>
        <v>3.8153857761120782</v>
      </c>
      <c r="AF34" s="102">
        <f>Implements7[[#This Row],[PriceL]]*(VLOOKUP(Implements7[[#This Row],[ASABEtype]],ASABECoefficients[],2)*(Implements7[[#This Row],[Life (yr)]]*Implements7[[#This Row],[Use (hr/yr)]]/1000)^VLOOKUP(Implements7[[#This Row],[ASABEtype]],ASABECoefficients[],3))/Implements7[[#This Row],[Life (yr)]]/Implements7[[#This Row],[Use (ac/yr)]]</f>
        <v>1.0605128205128203</v>
      </c>
      <c r="AG34" s="61">
        <f>$BR$18/(Implements7[[#This Row],[Width]]*Implements7[[#This Row],[Speed]]*Implements7[[#This Row],[Efficiency]])</f>
        <v>0.13221153846153844</v>
      </c>
      <c r="AH34" s="86">
        <f>SUM(Implements7[[#This Row],[Depr ($/ac)]:[OH (interest, insurance, taxes, housing) ($/ac)]])</f>
        <v>7.587789335650319</v>
      </c>
      <c r="AI34" s="87">
        <v>28</v>
      </c>
      <c r="AJ34" s="59" t="s">
        <v>732</v>
      </c>
      <c r="AK34" s="86"/>
      <c r="AW34" s="114"/>
      <c r="BE34" s="67" t="s">
        <v>600</v>
      </c>
      <c r="BF34" s="97">
        <v>0.23</v>
      </c>
      <c r="BG34" s="97">
        <v>1.8</v>
      </c>
      <c r="BH34" s="97">
        <v>2000</v>
      </c>
      <c r="BI34" s="97">
        <v>0.80910000000000004</v>
      </c>
      <c r="BJ34" s="97">
        <v>0.1109</v>
      </c>
      <c r="BK34" s="97">
        <v>0</v>
      </c>
      <c r="BL34" s="97">
        <v>1.4E-3</v>
      </c>
      <c r="BM34" s="64">
        <f t="shared" si="5"/>
        <v>1.605289E-2</v>
      </c>
      <c r="BN34" s="97">
        <v>0.12670000000000001</v>
      </c>
      <c r="BO34" s="98"/>
    </row>
    <row r="35" spans="2:67" ht="16.5">
      <c r="B35" s="31"/>
      <c r="C35" s="31"/>
      <c r="D35" s="123" t="s">
        <v>744</v>
      </c>
      <c r="E35" s="123" t="s">
        <v>745</v>
      </c>
      <c r="F35" s="123" t="s">
        <v>746</v>
      </c>
      <c r="G35" s="123" t="s">
        <v>746</v>
      </c>
      <c r="H35" s="123" t="s">
        <v>748</v>
      </c>
      <c r="I35" s="123" t="s">
        <v>747</v>
      </c>
      <c r="K35" s="59" t="str">
        <f>Implements7[[#This Row],[Implement type]]&amp;", "&amp;Implements7[[#This Row],[Width]]&amp;" "&amp;Implements7[[#This Row],[Width Unit]]</f>
        <v>Hay merger, 14 Ft</v>
      </c>
      <c r="L35" s="105" t="s">
        <v>601</v>
      </c>
      <c r="M35" s="76">
        <v>14</v>
      </c>
      <c r="N35" s="75" t="str">
        <f t="shared" si="11"/>
        <v>Ft</v>
      </c>
      <c r="O35" s="76"/>
      <c r="P35" s="76"/>
      <c r="Q35" s="77">
        <f>ROUND(65000*1.1,-3)</f>
        <v>72000</v>
      </c>
      <c r="R35" s="78">
        <v>0.1</v>
      </c>
      <c r="S35" s="79">
        <f t="shared" si="0"/>
        <v>80000</v>
      </c>
      <c r="T35" s="76">
        <v>12</v>
      </c>
      <c r="U35" s="76">
        <v>200</v>
      </c>
      <c r="V35" s="80">
        <f t="shared" si="1"/>
        <v>2172.121212121212</v>
      </c>
      <c r="W35" s="76" t="s">
        <v>599</v>
      </c>
      <c r="X35" s="76">
        <v>8</v>
      </c>
      <c r="Y35" s="78">
        <v>0.8</v>
      </c>
      <c r="Z35" s="78">
        <v>1.02</v>
      </c>
      <c r="AA35" s="76">
        <v>345</v>
      </c>
      <c r="AB35" s="99">
        <f>(VLOOKUP(Implements7[[#This Row],[ASABEtype]],ASABECoefficients[],5)-VLOOKUP(Implements7[[#This Row],[ASABEtype]],ASABECoefficients[],6)*Implements7[[#This Row],[Life (yr)]]^0.5-VLOOKUP(Implements7[[#This Row],[ASABEtype]],ASABECoefficients[],7)*Implements7[[#This Row],[Use (hr/yr)]]^0.5+VLOOKUP(Implements7[[#This Row],[ASABEtype]],ASABECoefficients[],8)*$BR$17)^2+0.25*VLOOKUP(Implements7[[#This Row],[ASABEtype]],ASABECoefficients[],9)</f>
        <v>0.29407083603500145</v>
      </c>
      <c r="AC35" s="100">
        <f>Implements7[[#This Row],[TradeIn%]]*Implements7[[#This Row],[PriceL]]</f>
        <v>23525.666882800117</v>
      </c>
      <c r="AD35" s="101">
        <f>(Implements7[[#This Row],[PriceP]]-Implements7[[#This Row],[TradeIn$]])/Implements7[[#This Row],[Life (yr)]]/Implements7[[#This Row],[Use (ac/yr)]]</f>
        <v>1.8597156260086454</v>
      </c>
      <c r="AE35" s="84">
        <f>((Implements7[[#This Row],[PriceP]]+Implements7[[#This Row],[TradeIn$]])/2*($BR$7+$BR$8+$BR$9)+Implements7[[#This Row],[Shed (ft^2)]]*$BR$12)/Implements7[[#This Row],[Use (ac/yr)]]</f>
        <v>1.550245192132927</v>
      </c>
      <c r="AF35" s="102">
        <f>Implements7[[#This Row],[PriceL]]*(VLOOKUP(Implements7[[#This Row],[ASABEtype]],ASABECoefficients[],2)*(Implements7[[#This Row],[Life (yr)]]*Implements7[[#This Row],[Use (hr/yr)]]/1000)^VLOOKUP(Implements7[[#This Row],[ASABEtype]],ASABECoefficients[],3))/Implements7[[#This Row],[Life (yr)]]/Implements7[[#This Row],[Use (ac/yr)]]</f>
        <v>1.7773352073562201</v>
      </c>
      <c r="AG35" s="61">
        <f>$BR$18/(Implements7[[#This Row],[Width]]*Implements7[[#This Row],[Speed]]*Implements7[[#This Row],[Efficiency]])</f>
        <v>9.2075892857142849E-2</v>
      </c>
      <c r="AH35" s="86">
        <f>SUM(Implements7[[#This Row],[Depr ($/ac)]:[OH (interest, insurance, taxes, housing) ($/ac)]])</f>
        <v>3.4099608181415721</v>
      </c>
      <c r="AI35" s="87">
        <v>30</v>
      </c>
      <c r="AJ35" s="59" t="s">
        <v>732</v>
      </c>
      <c r="AK35" s="86"/>
      <c r="AW35" s="115"/>
      <c r="BE35" s="67" t="s">
        <v>602</v>
      </c>
      <c r="BF35" s="97">
        <v>0.16</v>
      </c>
      <c r="BG35" s="97">
        <v>1.3</v>
      </c>
      <c r="BH35" s="97">
        <v>2000</v>
      </c>
      <c r="BI35" s="97">
        <v>0.71940000000000004</v>
      </c>
      <c r="BJ35" s="97">
        <v>0.11020000000000001</v>
      </c>
      <c r="BK35" s="97">
        <v>0</v>
      </c>
      <c r="BL35" s="97">
        <v>3.0000000000000001E-3</v>
      </c>
      <c r="BM35" s="64">
        <f t="shared" si="5"/>
        <v>1.4713690000000001E-2</v>
      </c>
      <c r="BN35" s="97">
        <v>0.12130000000000001</v>
      </c>
      <c r="BO35" s="98"/>
    </row>
    <row r="36" spans="2:67" ht="15">
      <c r="B36" s="275" t="s">
        <v>691</v>
      </c>
      <c r="C36" s="275" t="s">
        <v>680</v>
      </c>
      <c r="D36" s="277">
        <f>IF(ISBLANK(C36),"",VLOOKUP(C36,Power1[],17,FALSE)*VLOOKUP(B36,Implements7[],23,FALSE))</f>
        <v>0.13651282051282052</v>
      </c>
      <c r="E36" s="277">
        <f>IF(ISBLANK(B36),"",VLOOKUP(B36,Implements7[],23,FALSE)*VLOOKUP(B36,Implements7[],16,FALSE))</f>
        <v>2.7120315581854043E-2</v>
      </c>
      <c r="F36" s="124">
        <f>IFERROR(IF(ISBLANK(C36),"",D36*$BR$10+E36*$BR$6+VLOOKUP(C36,Power1[],16,FALSE)*VLOOKUP(B36,Implements7[],23,FALSE))+VLOOKUP(B36,Implements7[],22,FALSE),"")</f>
        <v>1.4904592175966394</v>
      </c>
      <c r="G36" s="277">
        <f>IF(ISBLANK(B36),"",VLOOKUP(B36,Implements7[],24,FALSE)+VLOOKUP(C36,Power1[],18,FALSE)*VLOOKUP(B36,Implements7[],23,FALSE))</f>
        <v>5.1936276705683708</v>
      </c>
      <c r="H36" s="283">
        <v>2</v>
      </c>
      <c r="I36" s="124">
        <f>IF(ISBLANK(B36),"",SUM(F36:G36)*H36)</f>
        <v>13.368173776330021</v>
      </c>
      <c r="K36" s="59" t="str">
        <f>Implements7[[#This Row],[Implement type]]&amp;", "&amp;Implements7[[#This Row],[Width]]&amp;" "&amp;Implements7[[#This Row],[Width Unit]]</f>
        <v>Hay merger, 34 Ft Folding</v>
      </c>
      <c r="L36" s="105" t="s">
        <v>601</v>
      </c>
      <c r="M36" s="76">
        <v>34</v>
      </c>
      <c r="N36" s="75" t="str">
        <f t="shared" si="11"/>
        <v>Ft Folding</v>
      </c>
      <c r="O36" s="76"/>
      <c r="P36" s="76"/>
      <c r="Q36" s="77">
        <f>260000*1.1</f>
        <v>286000</v>
      </c>
      <c r="R36" s="78">
        <v>0.1</v>
      </c>
      <c r="S36" s="79">
        <f t="shared" si="0"/>
        <v>317777.77777777775</v>
      </c>
      <c r="T36" s="76">
        <v>12</v>
      </c>
      <c r="U36" s="76">
        <v>200</v>
      </c>
      <c r="V36" s="80">
        <f t="shared" si="1"/>
        <v>5275.1515151515159</v>
      </c>
      <c r="W36" s="76" t="s">
        <v>603</v>
      </c>
      <c r="X36" s="76">
        <v>8</v>
      </c>
      <c r="Y36" s="78">
        <v>0.8</v>
      </c>
      <c r="Z36" s="78">
        <v>1.02</v>
      </c>
      <c r="AA36" s="76">
        <v>345</v>
      </c>
      <c r="AB36" s="99">
        <f>(VLOOKUP(Implements7[[#This Row],[ASABEtype]],ASABECoefficients[],5)-VLOOKUP(Implements7[[#This Row],[ASABEtype]],ASABECoefficients[],6)*Implements7[[#This Row],[Life (yr)]]^0.5-VLOOKUP(Implements7[[#This Row],[ASABEtype]],ASABECoefficients[],7)*Implements7[[#This Row],[Use (hr/yr)]]^0.5+VLOOKUP(Implements7[[#This Row],[ASABEtype]],ASABECoefficients[],8)*$BR$17)^2+0.25*VLOOKUP(Implements7[[#This Row],[ASABEtype]],ASABECoefficients[],9)</f>
        <v>0.3754768367568771</v>
      </c>
      <c r="AC36" s="100">
        <f>Implements7[[#This Row],[TradeIn%]]*Implements7[[#This Row],[PriceL]]</f>
        <v>119318.19479162982</v>
      </c>
      <c r="AD36" s="101">
        <f>(Implements7[[#This Row],[PriceP]]-Implements7[[#This Row],[TradeIn$]])/Implements7[[#This Row],[Life (yr)]]/Implements7[[#This Row],[Use (ac/yr)]]</f>
        <v>2.6331282417452773</v>
      </c>
      <c r="AE36" s="84">
        <f>((Implements7[[#This Row],[PriceP]]+Implements7[[#This Row],[TradeIn$]])/2*($BR$7+$BR$8+$BR$9)+Implements7[[#This Row],[Shed (ft^2)]]*$BR$12)/Implements7[[#This Row],[Use (ac/yr)]]</f>
        <v>2.5029107105271393</v>
      </c>
      <c r="AF36" s="102">
        <f>Implements7[[#This Row],[PriceL]]*(VLOOKUP(Implements7[[#This Row],[ASABEtype]],ASABECoefficients[],2)*(Implements7[[#This Row],[Life (yr)]]*Implements7[[#This Row],[Use (hr/yr)]]/1000)^VLOOKUP(Implements7[[#This Row],[ASABEtype]],ASABECoefficients[],3))/Implements7[[#This Row],[Life (yr)]]/Implements7[[#This Row],[Use (ac/yr)]]</f>
        <v>1.7349264705882348</v>
      </c>
      <c r="AG36" s="61">
        <f>$BR$18/(Implements7[[#This Row],[Width]]*Implements7[[#This Row],[Speed]]*Implements7[[#This Row],[Efficiency]])</f>
        <v>3.7913602941176468E-2</v>
      </c>
      <c r="AH36" s="86">
        <f>SUM(Implements7[[#This Row],[Depr ($/ac)]:[OH (interest, insurance, taxes, housing) ($/ac)]])</f>
        <v>5.1360389522724166</v>
      </c>
      <c r="AI36" s="87">
        <v>31</v>
      </c>
      <c r="AJ36" s="59" t="s">
        <v>732</v>
      </c>
      <c r="AK36" s="86"/>
      <c r="AW36" s="115"/>
      <c r="BE36" s="67" t="s">
        <v>604</v>
      </c>
      <c r="BF36" s="97">
        <v>0.23</v>
      </c>
      <c r="BG36" s="97">
        <v>1.4</v>
      </c>
      <c r="BH36" s="97">
        <v>2000</v>
      </c>
      <c r="BI36" s="97">
        <v>0.69269999999999998</v>
      </c>
      <c r="BJ36" s="97">
        <v>7.0300000000000001E-2</v>
      </c>
      <c r="BK36" s="97">
        <v>0</v>
      </c>
      <c r="BL36" s="97">
        <v>1.1999999999999999E-3</v>
      </c>
      <c r="BM36" s="64">
        <f t="shared" si="5"/>
        <v>1.4957290000000002E-2</v>
      </c>
      <c r="BN36" s="97">
        <v>0.12230000000000001</v>
      </c>
      <c r="BO36" s="98"/>
    </row>
    <row r="37" spans="2:67">
      <c r="B37" s="275" t="s">
        <v>692</v>
      </c>
      <c r="C37" s="275" t="s">
        <v>680</v>
      </c>
      <c r="D37" s="277">
        <f>IF(ISBLANK(C37),"",VLOOKUP(C37,Power1[],17,FALSE)*VLOOKUP(B37,Implements7[],23,FALSE))</f>
        <v>0.83187499999999981</v>
      </c>
      <c r="E37" s="277">
        <f>IF(ISBLANK(B37),"",VLOOKUP(B37,Implements7[],23,FALSE)*VLOOKUP(B37,Implements7[],16,FALSE))</f>
        <v>0.13882211538461536</v>
      </c>
      <c r="F37" s="124">
        <f>IFERROR(IF(ISBLANK(C37),"",D37*$BR$10+E37*$BR$6+VLOOKUP(C37,Power1[],16,FALSE)*VLOOKUP(B37,Implements7[],23,FALSE))+VLOOKUP(B37,Implements7[],22,FALSE),"")</f>
        <v>7.397874599358973</v>
      </c>
      <c r="G37" s="277">
        <f>IF(ISBLANK(B37),"",VLOOKUP(B37,Implements7[],24,FALSE)+VLOOKUP(C37,Power1[],18,FALSE)*VLOOKUP(B37,Implements7[],23,FALSE))</f>
        <v>11.79143688110536</v>
      </c>
      <c r="H37" s="283">
        <v>4</v>
      </c>
      <c r="I37" s="124">
        <f t="shared" ref="I37:I41" si="12">IF(ISBLANK(B37),"",SUM(F37:G37)*H37)</f>
        <v>76.757245921857333</v>
      </c>
      <c r="K37" s="59" t="str">
        <f>Implements7[[#This Row],[Implement type]]&amp;", "&amp;Implements7[[#This Row],[Width]]&amp;" "&amp;Implements7[[#This Row],[Width Unit]]</f>
        <v>Hay rake, 20 Ft Folding</v>
      </c>
      <c r="L37" s="105" t="s">
        <v>598</v>
      </c>
      <c r="M37" s="76">
        <v>20</v>
      </c>
      <c r="N37" s="75" t="str">
        <f t="shared" si="11"/>
        <v>Ft Folding</v>
      </c>
      <c r="O37" s="76">
        <v>8</v>
      </c>
      <c r="P37" s="105" t="s">
        <v>708</v>
      </c>
      <c r="Q37" s="77">
        <v>9000</v>
      </c>
      <c r="R37" s="78">
        <v>0.15</v>
      </c>
      <c r="S37" s="79">
        <f t="shared" si="0"/>
        <v>10588.235294117647</v>
      </c>
      <c r="T37" s="76">
        <v>12</v>
      </c>
      <c r="U37" s="76">
        <v>80</v>
      </c>
      <c r="V37" s="80">
        <f t="shared" si="1"/>
        <v>1241.2121212121212</v>
      </c>
      <c r="W37" s="76" t="s">
        <v>682</v>
      </c>
      <c r="X37" s="76">
        <v>8</v>
      </c>
      <c r="Y37" s="78">
        <v>0.8</v>
      </c>
      <c r="Z37" s="78">
        <v>1.02</v>
      </c>
      <c r="AA37" s="76">
        <v>175</v>
      </c>
      <c r="AB37" s="99">
        <f>(VLOOKUP(Implements7[[#This Row],[ASABEtype]],ASABECoefficients[],5)-VLOOKUP(Implements7[[#This Row],[ASABEtype]],ASABECoefficients[],6)*Implements7[[#This Row],[Life (yr)]]^0.5-VLOOKUP(Implements7[[#This Row],[ASABEtype]],ASABECoefficients[],7)*Implements7[[#This Row],[Use (hr/yr)]]^0.5+VLOOKUP(Implements7[[#This Row],[ASABEtype]],ASABECoefficients[],8)*$BR$17)^2+0.25*VLOOKUP(Implements7[[#This Row],[ASABEtype]],ASABECoefficients[],9)</f>
        <v>0.29407083603500145</v>
      </c>
      <c r="AC37" s="100">
        <f>Implements7[[#This Row],[TradeIn%]]*Implements7[[#This Row],[PriceL]]</f>
        <v>3113.6912050764859</v>
      </c>
      <c r="AD37" s="101">
        <f>(Implements7[[#This Row],[PriceP]]-Implements7[[#This Row],[TradeIn$]])/Implements7[[#This Row],[Life (yr)]]/Implements7[[#This Row],[Use (ac/yr)]]</f>
        <v>0.39519895473729649</v>
      </c>
      <c r="AE37" s="126">
        <f>((Implements7[[#This Row],[PriceP]]+Implements7[[#This Row],[TradeIn$]])/2*($BR$7+$BR$8+$BR$9)+Implements7[[#This Row],[Shed (ft^2)]]*$BR$12)/Implements7[[#This Row],[Use (ac/yr)]]</f>
        <v>0.44651756524407221</v>
      </c>
      <c r="AF37" s="102">
        <f>Implements7[[#This Row],[PriceL]]*(VLOOKUP(Implements7[[#This Row],[ASABEtype]],ASABECoefficients[],2)*(Implements7[[#This Row],[Life (yr)]]*Implements7[[#This Row],[Use (hr/yr)]]/1000)^VLOOKUP(Implements7[[#This Row],[ASABEtype]],ASABECoefficients[],3))/Implements7[[#This Row],[Life (yr)]]/Implements7[[#This Row],[Use (ac/yr)]]</f>
        <v>0.12808625665292797</v>
      </c>
      <c r="AG37" s="61">
        <f>$BR$18/(Implements7[[#This Row],[Width]]*Implements7[[#This Row],[Speed]]*Implements7[[#This Row],[Efficiency]])</f>
        <v>6.4453125E-2</v>
      </c>
      <c r="AH37" s="86">
        <f>SUM(Implements7[[#This Row],[Depr ($/ac)]:[OH (interest, insurance, taxes, housing) ($/ac)]])</f>
        <v>0.84171651998136876</v>
      </c>
      <c r="AI37" s="86"/>
      <c r="AJ37" s="59" t="s">
        <v>732</v>
      </c>
      <c r="AK37" s="86"/>
      <c r="BE37" s="67" t="s">
        <v>605</v>
      </c>
      <c r="BF37" s="97">
        <v>0.36</v>
      </c>
      <c r="BG37" s="97">
        <v>2</v>
      </c>
      <c r="BH37" s="97">
        <v>1500</v>
      </c>
      <c r="BI37" s="97">
        <v>0.71940000000000004</v>
      </c>
      <c r="BJ37" s="97">
        <v>0.11020000000000001</v>
      </c>
      <c r="BK37" s="97">
        <v>0</v>
      </c>
      <c r="BL37" s="97">
        <v>3.0000000000000001E-3</v>
      </c>
      <c r="BM37" s="64">
        <f t="shared" si="5"/>
        <v>1.4713690000000001E-2</v>
      </c>
      <c r="BN37" s="97">
        <v>0.12130000000000001</v>
      </c>
      <c r="BO37" s="98"/>
    </row>
    <row r="38" spans="2:67" ht="15">
      <c r="B38" s="275" t="s">
        <v>709</v>
      </c>
      <c r="C38" s="275" t="s">
        <v>724</v>
      </c>
      <c r="D38" s="277">
        <f>IF(ISBLANK(C38),"",VLOOKUP(C38,Power1[],17,FALSE)*VLOOKUP(B38,Implements7[],23,FALSE))</f>
        <v>0.22020220588235292</v>
      </c>
      <c r="E38" s="277">
        <f>IF(ISBLANK(B38),"",VLOOKUP(B38,Implements7[],23,FALSE)*VLOOKUP(B38,Implements7[],16,FALSE))</f>
        <v>6.1874999999999999E-2</v>
      </c>
      <c r="F38" s="124">
        <f>IFERROR(IF(ISBLANK(C38),"",D38*$BR$10+E38*$BR$6+VLOOKUP(C38,Power1[],16,FALSE)*VLOOKUP(B38,Implements7[],23,FALSE))+VLOOKUP(B38,Implements7[],22,FALSE),"")</f>
        <v>2.1408760544197047</v>
      </c>
      <c r="G38" s="277">
        <f>IF(ISBLANK(B38),"",VLOOKUP(B38,Implements7[],24,FALSE)+VLOOKUP(C38,Power1[],18,FALSE)*VLOOKUP(B38,Implements7[],23,FALSE))</f>
        <v>2.7167820673957586</v>
      </c>
      <c r="H38" s="283">
        <v>2</v>
      </c>
      <c r="I38" s="124">
        <f t="shared" si="12"/>
        <v>9.7153162436309266</v>
      </c>
      <c r="K38" s="59" t="str">
        <f>Implements7[[#This Row],[Implement type]]&amp;", "&amp;Implements7[[#This Row],[Width]]&amp;" "&amp;Implements7[[#This Row],[Width Unit]]</f>
        <v>Hay rake, 30 Ft Folding</v>
      </c>
      <c r="L38" s="105" t="s">
        <v>598</v>
      </c>
      <c r="M38" s="76">
        <v>30</v>
      </c>
      <c r="N38" s="75" t="str">
        <f t="shared" si="11"/>
        <v>Ft Folding</v>
      </c>
      <c r="O38" s="76">
        <v>12</v>
      </c>
      <c r="P38" s="76" t="s">
        <v>708</v>
      </c>
      <c r="Q38" s="77">
        <v>17500</v>
      </c>
      <c r="R38" s="78">
        <v>0.1</v>
      </c>
      <c r="S38" s="79">
        <f t="shared" ref="S38:S63" si="13">Q38/(1-R38)</f>
        <v>19444.444444444445</v>
      </c>
      <c r="T38" s="76">
        <v>12</v>
      </c>
      <c r="U38" s="76">
        <v>80</v>
      </c>
      <c r="V38" s="80">
        <f t="shared" ref="V38:V63" si="14">IF(AND(X38&lt;&gt;0,Y38&lt;&gt;0),U38*(M38*X38*Y38)/8.25,U38*M38)</f>
        <v>1861.8181818181818</v>
      </c>
      <c r="W38" s="76" t="s">
        <v>682</v>
      </c>
      <c r="X38" s="76">
        <v>8</v>
      </c>
      <c r="Y38" s="78">
        <v>0.8</v>
      </c>
      <c r="Z38" s="78">
        <v>1.02</v>
      </c>
      <c r="AA38" s="76">
        <v>250</v>
      </c>
      <c r="AB38" s="99">
        <f>(VLOOKUP(Implements7[[#This Row],[ASABEtype]],ASABECoefficients[],5)-VLOOKUP(Implements7[[#This Row],[ASABEtype]],ASABECoefficients[],6)*Implements7[[#This Row],[Life (yr)]]^0.5-VLOOKUP(Implements7[[#This Row],[ASABEtype]],ASABECoefficients[],7)*Implements7[[#This Row],[Use (hr/yr)]]^0.5+VLOOKUP(Implements7[[#This Row],[ASABEtype]],ASABECoefficients[],8)*$BR$17)^2+0.25*VLOOKUP(Implements7[[#This Row],[ASABEtype]],ASABECoefficients[],9)</f>
        <v>0.29407083603500145</v>
      </c>
      <c r="AC38" s="100">
        <f>Implements7[[#This Row],[TradeIn%]]*Implements7[[#This Row],[PriceL]]</f>
        <v>5718.0440340139176</v>
      </c>
      <c r="AD38" s="101">
        <f>(Implements7[[#This Row],[PriceP]]-Implements7[[#This Row],[TradeIn$]])/Implements7[[#This Row],[Life (yr)]]/Implements7[[#This Row],[Use (ac/yr)]]</f>
        <v>0.5273499170973589</v>
      </c>
      <c r="AE38" s="84">
        <f>((Implements7[[#This Row],[PriceP]]+Implements7[[#This Row],[TradeIn$]])/2*($BR$7+$BR$8+$BR$9)+Implements7[[#This Row],[Shed (ft^2)]]*$BR$12)/Implements7[[#This Row],[Use (ac/yr)]]</f>
        <v>0.52608662244059168</v>
      </c>
      <c r="AF38" s="102">
        <f>Implements7[[#This Row],[PriceL]]*(VLOOKUP(Implements7[[#This Row],[ASABEtype]],ASABECoefficients[],2)*(Implements7[[#This Row],[Life (yr)]]*Implements7[[#This Row],[Use (hr/yr)]]/1000)^VLOOKUP(Implements7[[#This Row],[ASABEtype]],ASABECoefficients[],3))/Implements7[[#This Row],[Life (yr)]]/Implements7[[#This Row],[Use (ac/yr)]]</f>
        <v>0.1568134212108892</v>
      </c>
      <c r="AG38" s="61">
        <f>$BR$18/(Implements7[[#This Row],[Width]]*Implements7[[#This Row],[Speed]]*Implements7[[#This Row],[Efficiency]])</f>
        <v>4.296875E-2</v>
      </c>
      <c r="AH38" s="86">
        <f>SUM(Implements7[[#This Row],[Depr ($/ac)]:[OH (interest, insurance, taxes, housing) ($/ac)]])</f>
        <v>1.0534365395379506</v>
      </c>
      <c r="AI38" s="87">
        <v>29</v>
      </c>
      <c r="AJ38" s="59" t="s">
        <v>732</v>
      </c>
      <c r="AK38" s="86"/>
      <c r="AW38" s="115"/>
      <c r="BE38" s="67" t="s">
        <v>588</v>
      </c>
      <c r="BF38" s="97">
        <v>0.17</v>
      </c>
      <c r="BG38" s="97">
        <v>2.2000000000000002</v>
      </c>
      <c r="BH38" s="97">
        <v>2000</v>
      </c>
      <c r="BI38" s="97">
        <v>0.69269999999999998</v>
      </c>
      <c r="BJ38" s="97">
        <v>7.0300000000000001E-2</v>
      </c>
      <c r="BK38" s="97">
        <v>0</v>
      </c>
      <c r="BL38" s="97">
        <v>1.1999999999999999E-3</v>
      </c>
      <c r="BM38" s="64">
        <f t="shared" si="5"/>
        <v>1.4957290000000002E-2</v>
      </c>
      <c r="BN38" s="97">
        <v>0.12230000000000001</v>
      </c>
      <c r="BO38" s="98"/>
    </row>
    <row r="39" spans="2:67" ht="15">
      <c r="B39" s="275" t="s">
        <v>710</v>
      </c>
      <c r="C39" s="275" t="s">
        <v>724</v>
      </c>
      <c r="D39" s="277">
        <f>IF(ISBLANK(C39),"",VLOOKUP(C39,Power1[],17,FALSE)*VLOOKUP(B39,Implements7[],23,FALSE))</f>
        <v>0.23396484374999998</v>
      </c>
      <c r="E39" s="277">
        <f>IF(ISBLANK(B39),"",VLOOKUP(B39,Implements7[],23,FALSE)*VLOOKUP(B39,Implements7[],16,FALSE))</f>
        <v>6.5742187500000007E-2</v>
      </c>
      <c r="F39" s="124">
        <f>IFERROR(IF(ISBLANK(C39),"",D39*$BR$10+E39*$BR$6+VLOOKUP(C39,Power1[],16,FALSE)*VLOOKUP(B39,Implements7[],23,FALSE))+VLOOKUP(B39,Implements7[],22,FALSE),"")</f>
        <v>2.3501172393831915</v>
      </c>
      <c r="G39" s="277">
        <f>IF(ISBLANK(B39),"",VLOOKUP(B39,Implements7[],24,FALSE)+VLOOKUP(C39,Power1[],18,FALSE)*VLOOKUP(B39,Implements7[],23,FALSE))</f>
        <v>1.780662339858796</v>
      </c>
      <c r="H39" s="283">
        <v>4</v>
      </c>
      <c r="I39" s="124">
        <f t="shared" si="12"/>
        <v>16.523118316967949</v>
      </c>
      <c r="K39" s="59" t="str">
        <f>Implements7[[#This Row],[Implement type]]&amp;", "&amp;Implements7[[#This Row],[Width]]&amp;" "&amp;Implements7[[#This Row],[Width Unit]]</f>
        <v>Hay tedder, 16 Ft Folding</v>
      </c>
      <c r="L39" s="105" t="s">
        <v>706</v>
      </c>
      <c r="M39" s="76">
        <v>16</v>
      </c>
      <c r="N39" s="75" t="str">
        <f t="shared" si="11"/>
        <v>Ft Folding</v>
      </c>
      <c r="O39" s="76">
        <v>4</v>
      </c>
      <c r="P39" s="105" t="s">
        <v>707</v>
      </c>
      <c r="Q39" s="77">
        <v>7000</v>
      </c>
      <c r="R39" s="78">
        <v>0.1</v>
      </c>
      <c r="S39" s="79">
        <f t="shared" si="13"/>
        <v>7777.7777777777774</v>
      </c>
      <c r="T39" s="76">
        <v>12</v>
      </c>
      <c r="U39" s="76">
        <v>25</v>
      </c>
      <c r="V39" s="80">
        <f t="shared" si="14"/>
        <v>412.12121212121212</v>
      </c>
      <c r="W39" s="76" t="s">
        <v>599</v>
      </c>
      <c r="X39" s="76">
        <v>10</v>
      </c>
      <c r="Y39" s="78">
        <v>0.85</v>
      </c>
      <c r="Z39" s="78">
        <v>1.02</v>
      </c>
      <c r="AA39" s="76">
        <v>70</v>
      </c>
      <c r="AB39" s="99">
        <f>(VLOOKUP(Implements7[[#This Row],[ASABEtype]],ASABECoefficients[],5)-VLOOKUP(Implements7[[#This Row],[ASABEtype]],ASABECoefficients[],6)*Implements7[[#This Row],[Life (yr)]]^0.5-VLOOKUP(Implements7[[#This Row],[ASABEtype]],ASABECoefficients[],7)*Implements7[[#This Row],[Use (hr/yr)]]^0.5+VLOOKUP(Implements7[[#This Row],[ASABEtype]],ASABECoefficients[],8)*$BR$17)^2+0.25*VLOOKUP(Implements7[[#This Row],[ASABEtype]],ASABECoefficients[],9)</f>
        <v>0.29407083603500145</v>
      </c>
      <c r="AC39" s="100">
        <f>Implements7[[#This Row],[TradeIn%]]*Implements7[[#This Row],[PriceL]]</f>
        <v>2287.2176136055668</v>
      </c>
      <c r="AD39" s="101">
        <f>(Implements7[[#This Row],[PriceP]]-Implements7[[#This Row],[TradeIn$]])/Implements7[[#This Row],[Life (yr)]]/Implements7[[#This Row],[Use (ac/yr)]]</f>
        <v>0.95295232077828618</v>
      </c>
      <c r="AE39" s="126">
        <f>((Implements7[[#This Row],[PriceP]]+Implements7[[#This Row],[TradeIn$]])/2*($BR$7+$BR$8+$BR$9)+Implements7[[#This Row],[Shed (ft^2)]]*$BR$12)/Implements7[[#This Row],[Use (ac/yr)]]</f>
        <v>0.88011603379165859</v>
      </c>
      <c r="AF39" s="102">
        <f>Implements7[[#This Row],[PriceL]]*(VLOOKUP(Implements7[[#This Row],[ASABEtype]],ASABECoefficients[],2)*(Implements7[[#This Row],[Life (yr)]]*Implements7[[#This Row],[Use (hr/yr)]]/1000)^VLOOKUP(Implements7[[#This Row],[ASABEtype]],ASABECoefficients[],3))/Implements7[[#This Row],[Life (yr)]]/Implements7[[#This Row],[Use (ac/yr)]]</f>
        <v>4.9552776555927824E-2</v>
      </c>
      <c r="AG39" s="61">
        <f>$BR$18/(Implements7[[#This Row],[Width]]*Implements7[[#This Row],[Speed]]*Implements7[[#This Row],[Efficiency]])</f>
        <v>6.0661764705882353E-2</v>
      </c>
      <c r="AH39" s="86">
        <f>SUM(Implements7[[#This Row],[Depr ($/ac)]:[OH (interest, insurance, taxes, housing) ($/ac)]])</f>
        <v>1.8330683545699449</v>
      </c>
      <c r="AI39" s="86"/>
      <c r="AJ39" s="59" t="s">
        <v>732</v>
      </c>
      <c r="AK39" s="86"/>
      <c r="AW39" s="115"/>
      <c r="BE39" s="67" t="s">
        <v>568</v>
      </c>
      <c r="BF39" s="97">
        <v>0.32</v>
      </c>
      <c r="BG39" s="97">
        <v>2.1</v>
      </c>
      <c r="BH39" s="97">
        <v>1500</v>
      </c>
      <c r="BI39" s="97">
        <v>0.85540000000000005</v>
      </c>
      <c r="BJ39" s="97">
        <v>0.1177</v>
      </c>
      <c r="BK39" s="97">
        <v>0</v>
      </c>
      <c r="BL39" s="97">
        <v>2.8999999999999998E-3</v>
      </c>
      <c r="BM39" s="64">
        <f t="shared" si="5"/>
        <v>1.6230760000000004E-2</v>
      </c>
      <c r="BN39" s="97">
        <v>0.12740000000000001</v>
      </c>
      <c r="BO39" s="98"/>
    </row>
    <row r="40" spans="2:67" ht="15">
      <c r="B40" s="275" t="s">
        <v>711</v>
      </c>
      <c r="C40" s="275" t="s">
        <v>724</v>
      </c>
      <c r="D40" s="277">
        <f>IF(ISBLANK(C40),"",VLOOKUP(C40,Power1[],17,FALSE)*VLOOKUP(B40,Implements7[],23,FALSE))</f>
        <v>0.49912500000000004</v>
      </c>
      <c r="E40" s="277">
        <f>IF(ISBLANK(B40),"",VLOOKUP(B40,Implements7[],23,FALSE)*VLOOKUP(B40,Implements7[],16,FALSE))</f>
        <v>0.15262500000000004</v>
      </c>
      <c r="F40" s="124">
        <f>IFERROR(IF(ISBLANK(C40),"",D40*$BR$10+E40*$BR$6+VLOOKUP(C40,Power1[],16,FALSE)*VLOOKUP(B40,Implements7[],23,FALSE))+VLOOKUP(B40,Implements7[],22,FALSE),"")</f>
        <v>7.5028966154035324</v>
      </c>
      <c r="G40" s="277">
        <f>IF(ISBLANK(B40),"",VLOOKUP(B40,Implements7[],24,FALSE)+VLOOKUP(C40,Power1[],18,FALSE)*VLOOKUP(B40,Implements7[],23,FALSE))</f>
        <v>4.556851380711743</v>
      </c>
      <c r="H40" s="283">
        <v>4</v>
      </c>
      <c r="I40" s="124">
        <f t="shared" si="12"/>
        <v>48.238991984461101</v>
      </c>
      <c r="K40" s="59" t="str">
        <f>Implements7[[#This Row],[Implement type]]&amp;", "&amp;Implements7[[#This Row],[Width]]&amp;" "&amp;Implements7[[#This Row],[Width Unit]]</f>
        <v>Inline bale wrapper, 60 Ft</v>
      </c>
      <c r="L40" s="105" t="s">
        <v>700</v>
      </c>
      <c r="M40" s="76">
        <v>60</v>
      </c>
      <c r="N40" s="75" t="s">
        <v>536</v>
      </c>
      <c r="O40" s="76"/>
      <c r="P40" s="105"/>
      <c r="Q40" s="77">
        <v>32500</v>
      </c>
      <c r="R40" s="78">
        <v>0.1</v>
      </c>
      <c r="S40" s="79">
        <f t="shared" si="13"/>
        <v>36111.111111111109</v>
      </c>
      <c r="T40" s="76">
        <v>12</v>
      </c>
      <c r="U40" s="76">
        <v>100</v>
      </c>
      <c r="V40" s="80">
        <f t="shared" si="14"/>
        <v>5236.363636363636</v>
      </c>
      <c r="W40" s="76" t="s">
        <v>616</v>
      </c>
      <c r="X40" s="76">
        <v>8</v>
      </c>
      <c r="Y40" s="78">
        <v>0.9</v>
      </c>
      <c r="Z40" s="78">
        <v>1.1000000000000001</v>
      </c>
      <c r="AA40" s="76">
        <v>200</v>
      </c>
      <c r="AB40" s="99">
        <f>(VLOOKUP(Implements7[[#This Row],[ASABEtype]],ASABECoefficients[],5)-VLOOKUP(Implements7[[#This Row],[ASABEtype]],ASABECoefficients[],6)*Implements7[[#This Row],[Life (yr)]]^0.5-VLOOKUP(Implements7[[#This Row],[ASABEtype]],ASABECoefficients[],7)*Implements7[[#This Row],[Use (hr/yr)]]^0.5+VLOOKUP(Implements7[[#This Row],[ASABEtype]],ASABECoefficients[],8)*$BR$17)^2+0.25*VLOOKUP(Implements7[[#This Row],[ASABEtype]],ASABECoefficients[],9)</f>
        <v>0.29407083603500145</v>
      </c>
      <c r="AC40" s="100">
        <f>Implements7[[#This Row],[TradeIn%]]*Implements7[[#This Row],[PriceL]]</f>
        <v>10619.224634597274</v>
      </c>
      <c r="AD40" s="101">
        <f>(Implements7[[#This Row],[PriceP]]-Implements7[[#This Row],[TradeIn$]])/Implements7[[#This Row],[Life (yr)]]/Implements7[[#This Row],[Use (ac/yr)]]</f>
        <v>0.34821835795635131</v>
      </c>
      <c r="AE40" s="126">
        <f>((Implements7[[#This Row],[PriceP]]+Implements7[[#This Row],[TradeIn$]])/2*($BR$7+$BR$8+$BR$9)+Implements7[[#This Row],[Shed (ft^2)]]*$BR$12)/Implements7[[#This Row],[Use (ac/yr)]]</f>
        <v>0.29846650907285183</v>
      </c>
      <c r="AF40" s="102">
        <f>Implements7[[#This Row],[PriceL]]*(VLOOKUP(Implements7[[#This Row],[ASABEtype]],ASABECoefficients[],2)*(Implements7[[#This Row],[Life (yr)]]*Implements7[[#This Row],[Use (hr/yr)]]/1000)^VLOOKUP(Implements7[[#This Row],[ASABEtype]],ASABECoefficients[],3))/Implements7[[#This Row],[Life (yr)]]/Implements7[[#This Row],[Use (ac/yr)]]</f>
        <v>1.1540139533229552E-2</v>
      </c>
      <c r="AG40" s="61">
        <f>$BR$18/(Implements7[[#This Row],[Width]]*Implements7[[#This Row],[Speed]]*Implements7[[#This Row],[Efficiency]])</f>
        <v>1.9097222222222224E-2</v>
      </c>
      <c r="AH40" s="86">
        <f>SUM(Implements7[[#This Row],[Depr ($/ac)]:[OH (interest, insurance, taxes, housing) ($/ac)]])</f>
        <v>0.64668486702920314</v>
      </c>
      <c r="AI40" s="86"/>
      <c r="AJ40" s="59" t="s">
        <v>732</v>
      </c>
      <c r="AK40" s="86"/>
      <c r="AW40" s="114"/>
      <c r="BE40" s="67" t="s">
        <v>599</v>
      </c>
      <c r="BF40" s="97">
        <v>0.17</v>
      </c>
      <c r="BG40" s="97">
        <v>1.4</v>
      </c>
      <c r="BH40" s="97">
        <v>2500</v>
      </c>
      <c r="BI40" s="97">
        <v>0.80910000000000004</v>
      </c>
      <c r="BJ40" s="97">
        <v>0.1109</v>
      </c>
      <c r="BK40" s="97">
        <v>0</v>
      </c>
      <c r="BL40" s="97">
        <v>1.4E-3</v>
      </c>
      <c r="BM40" s="64">
        <f t="shared" si="5"/>
        <v>1.605289E-2</v>
      </c>
      <c r="BN40" s="97">
        <v>0.12670000000000001</v>
      </c>
      <c r="BO40" s="98"/>
    </row>
    <row r="41" spans="2:67" ht="15">
      <c r="B41" s="275"/>
      <c r="C41" s="275"/>
      <c r="D41" s="277" t="str">
        <f>IF(ISBLANK(C41),"",VLOOKUP(C41,Power1[],17,FALSE)*VLOOKUP(B41,Implements7[],23,FALSE))</f>
        <v/>
      </c>
      <c r="E41" s="277" t="str">
        <f>IF(ISBLANK(B41),"",VLOOKUP(B41,Implements7[],23,FALSE)*VLOOKUP(B41,Implements7[],16,FALSE))</f>
        <v/>
      </c>
      <c r="F41" s="124" t="str">
        <f>IFERROR(IF(ISBLANK(C41),"",D41*$BR$10+E41*$BR$6+VLOOKUP(C41,Power1[],16,FALSE)*VLOOKUP(B41,Implements7[],23,FALSE))+VLOOKUP(B41,Implements7[],22,FALSE),"")</f>
        <v/>
      </c>
      <c r="G41" s="277" t="str">
        <f>IF(ISBLANK(B41),"",VLOOKUP(B41,Implements7[],24,FALSE)+VLOOKUP(C41,Power1[],18,FALSE)*VLOOKUP(B41,Implements7[],23,FALSE))</f>
        <v/>
      </c>
      <c r="H41" s="283"/>
      <c r="I41" s="124" t="str">
        <f t="shared" si="12"/>
        <v/>
      </c>
      <c r="K41" s="59" t="str">
        <f>Implements7[[#This Row],[Implement type]]&amp;", "&amp;Implements7[[#This Row],[Width]]&amp;" "&amp;Implements7[[#This Row],[Width Unit]]</f>
        <v>Large rectangular baler, 30 Ft</v>
      </c>
      <c r="L41" s="105" t="s">
        <v>577</v>
      </c>
      <c r="M41" s="76">
        <v>30</v>
      </c>
      <c r="N41" s="75" t="s">
        <v>536</v>
      </c>
      <c r="O41" s="76" t="s">
        <v>608</v>
      </c>
      <c r="P41" s="76"/>
      <c r="Q41" s="77">
        <v>155500</v>
      </c>
      <c r="R41" s="78">
        <v>0.1</v>
      </c>
      <c r="S41" s="79">
        <f t="shared" si="13"/>
        <v>172777.77777777778</v>
      </c>
      <c r="T41" s="76">
        <v>12</v>
      </c>
      <c r="U41" s="76">
        <v>250</v>
      </c>
      <c r="V41" s="80">
        <f t="shared" si="14"/>
        <v>4363.636363636364</v>
      </c>
      <c r="W41" s="76" t="s">
        <v>577</v>
      </c>
      <c r="X41" s="76">
        <v>6</v>
      </c>
      <c r="Y41" s="78">
        <v>0.8</v>
      </c>
      <c r="Z41" s="78">
        <v>1.1100000000000001</v>
      </c>
      <c r="AA41" s="76">
        <v>250</v>
      </c>
      <c r="AB41" s="99">
        <f>(VLOOKUP(Implements7[[#This Row],[ASABEtype]],ASABECoefficients[],5)-VLOOKUP(Implements7[[#This Row],[ASABEtype]],ASABECoefficients[],6)*Implements7[[#This Row],[Life (yr)]]^0.5-VLOOKUP(Implements7[[#This Row],[ASABEtype]],ASABECoefficients[],7)*Implements7[[#This Row],[Use (hr/yr)]]^0.5+VLOOKUP(Implements7[[#This Row],[ASABEtype]],ASABECoefficients[],8)*$BR$17)^2+0.25*VLOOKUP(Implements7[[#This Row],[ASABEtype]],ASABECoefficients[],9)</f>
        <v>0.29407083603500145</v>
      </c>
      <c r="AC41" s="100">
        <f>Implements7[[#This Row],[TradeIn%]]*Implements7[[#This Row],[PriceL]]</f>
        <v>50808.905559380808</v>
      </c>
      <c r="AD41" s="101">
        <f>(Implements7[[#This Row],[PriceP]]-Implements7[[#This Row],[TradeIn$]])/Implements7[[#This Row],[Life (yr)]]/Implements7[[#This Row],[Use (ac/yr)]]</f>
        <v>1.9993090952201582</v>
      </c>
      <c r="AE41" s="84">
        <f>((Implements7[[#This Row],[PriceP]]+Implements7[[#This Row],[TradeIn$]])/2*($BR$7+$BR$8+$BR$9)+Implements7[[#This Row],[Shed (ft^2)]]*$BR$12)/Implements7[[#This Row],[Use (ac/yr)]]</f>
        <v>1.5566403628191188</v>
      </c>
      <c r="AF41" s="102">
        <f>Implements7[[#This Row],[PriceL]]*(VLOOKUP(Implements7[[#This Row],[ASABEtype]],ASABECoefficients[],2)*(Implements7[[#This Row],[Life (yr)]]*Implements7[[#This Row],[Use (hr/yr)]]/1000)^VLOOKUP(Implements7[[#This Row],[ASABEtype]],ASABECoefficients[],3))/Implements7[[#This Row],[Life (yr)]]/Implements7[[#This Row],[Use (ac/yr)]]</f>
        <v>2.3838358357480471</v>
      </c>
      <c r="AG41" s="61">
        <f>$BR$18/(Implements7[[#This Row],[Width]]*Implements7[[#This Row],[Speed]]*Implements7[[#This Row],[Efficiency]])</f>
        <v>5.7291666666666664E-2</v>
      </c>
      <c r="AH41" s="86">
        <f>SUM(Implements7[[#This Row],[Depr ($/ac)]:[OH (interest, insurance, taxes, housing) ($/ac)]])</f>
        <v>3.5559494580392768</v>
      </c>
      <c r="AI41" s="87">
        <v>35</v>
      </c>
      <c r="AJ41" s="59" t="s">
        <v>732</v>
      </c>
      <c r="AK41" s="86"/>
      <c r="AW41" s="115"/>
      <c r="BE41" s="67" t="s">
        <v>610</v>
      </c>
      <c r="BF41" s="97">
        <v>0.27</v>
      </c>
      <c r="BG41" s="97">
        <v>1.4</v>
      </c>
      <c r="BH41" s="97">
        <v>2000</v>
      </c>
      <c r="BI41" s="97">
        <v>0.69269999999999998</v>
      </c>
      <c r="BJ41" s="97">
        <v>7.0300000000000001E-2</v>
      </c>
      <c r="BK41" s="97">
        <v>0</v>
      </c>
      <c r="BL41" s="97">
        <v>1.1999999999999999E-3</v>
      </c>
      <c r="BM41" s="64">
        <f t="shared" si="5"/>
        <v>1.4957290000000002E-2</v>
      </c>
      <c r="BN41" s="97">
        <v>0.12230000000000001</v>
      </c>
      <c r="BO41" s="98"/>
    </row>
    <row r="42" spans="2:67">
      <c r="B42" s="279" t="s">
        <v>403</v>
      </c>
      <c r="C42" s="279"/>
      <c r="D42" s="280"/>
      <c r="E42" s="280"/>
      <c r="F42" s="284">
        <v>7</v>
      </c>
      <c r="G42" s="284">
        <v>7</v>
      </c>
      <c r="H42" s="280"/>
      <c r="I42" s="281">
        <f>SUM(F42+G42)</f>
        <v>14</v>
      </c>
      <c r="K42" s="59" t="str">
        <f>Implements7[[#This Row],[Implement type]]&amp;", "&amp;Implements7[[#This Row],[Width]]&amp;" "&amp;Implements7[[#This Row],[Width Unit]]</f>
        <v>Large rectangular baler, 30 Ft</v>
      </c>
      <c r="L42" s="105" t="s">
        <v>577</v>
      </c>
      <c r="M42" s="76">
        <v>30</v>
      </c>
      <c r="N42" s="75" t="s">
        <v>536</v>
      </c>
      <c r="O42" s="76" t="s">
        <v>609</v>
      </c>
      <c r="P42" s="76"/>
      <c r="Q42" s="77">
        <v>188000</v>
      </c>
      <c r="R42" s="78">
        <v>0.1</v>
      </c>
      <c r="S42" s="79">
        <f t="shared" si="13"/>
        <v>208888.88888888888</v>
      </c>
      <c r="T42" s="76">
        <v>12</v>
      </c>
      <c r="U42" s="76">
        <v>250</v>
      </c>
      <c r="V42" s="80">
        <f t="shared" si="14"/>
        <v>4363.636363636364</v>
      </c>
      <c r="W42" s="76" t="s">
        <v>577</v>
      </c>
      <c r="X42" s="76">
        <v>6</v>
      </c>
      <c r="Y42" s="78">
        <v>0.8</v>
      </c>
      <c r="Z42" s="78">
        <v>1.1100000000000001</v>
      </c>
      <c r="AA42" s="76">
        <v>250</v>
      </c>
      <c r="AB42" s="99">
        <f>(VLOOKUP(Implements7[[#This Row],[ASABEtype]],ASABECoefficients[],5)-VLOOKUP(Implements7[[#This Row],[ASABEtype]],ASABECoefficients[],6)*Implements7[[#This Row],[Life (yr)]]^0.5-VLOOKUP(Implements7[[#This Row],[ASABEtype]],ASABECoefficients[],7)*Implements7[[#This Row],[Use (hr/yr)]]^0.5+VLOOKUP(Implements7[[#This Row],[ASABEtype]],ASABECoefficients[],8)*$BR$17)^2+0.25*VLOOKUP(Implements7[[#This Row],[ASABEtype]],ASABECoefficients[],9)</f>
        <v>0.29407083603500145</v>
      </c>
      <c r="AC42" s="100">
        <f>Implements7[[#This Row],[TradeIn%]]*Implements7[[#This Row],[PriceL]]</f>
        <v>61428.130193978075</v>
      </c>
      <c r="AD42" s="101">
        <f>(Implements7[[#This Row],[PriceP]]-Implements7[[#This Row],[TradeIn$]])/Implements7[[#This Row],[Life (yr)]]/Implements7[[#This Row],[Use (ac/yr)]]</f>
        <v>2.4171711247677798</v>
      </c>
      <c r="AE42" s="84">
        <f>((Implements7[[#This Row],[PriceP]]+Implements7[[#This Row],[TradeIn$]])/2*($BR$7+$BR$8+$BR$9)+Implements7[[#This Row],[Shed (ft^2)]]*$BR$12)/Implements7[[#This Row],[Use (ac/yr)]]</f>
        <v>1.8703776378948085</v>
      </c>
      <c r="AF42" s="102">
        <f>Implements7[[#This Row],[PriceL]]*(VLOOKUP(Implements7[[#This Row],[ASABEtype]],ASABECoefficients[],2)*(Implements7[[#This Row],[Life (yr)]]*Implements7[[#This Row],[Use (hr/yr)]]/1000)^VLOOKUP(Implements7[[#This Row],[ASABEtype]],ASABECoefficients[],3))/Implements7[[#This Row],[Life (yr)]]/Implements7[[#This Row],[Use (ac/yr)]]</f>
        <v>2.8820651904863843</v>
      </c>
      <c r="AG42" s="61">
        <f>$BR$18/(Implements7[[#This Row],[Width]]*Implements7[[#This Row],[Speed]]*Implements7[[#This Row],[Efficiency]])</f>
        <v>5.7291666666666664E-2</v>
      </c>
      <c r="AH42" s="86">
        <f>SUM(Implements7[[#This Row],[Depr ($/ac)]:[OH (interest, insurance, taxes, housing) ($/ac)]])</f>
        <v>4.2875487626625883</v>
      </c>
      <c r="AI42" s="87">
        <v>36</v>
      </c>
      <c r="AJ42" s="59" t="s">
        <v>732</v>
      </c>
      <c r="AK42" s="86"/>
      <c r="BE42" s="67" t="s">
        <v>613</v>
      </c>
      <c r="BF42" s="97">
        <v>0.59</v>
      </c>
      <c r="BG42" s="97">
        <v>1.3</v>
      </c>
      <c r="BH42" s="97">
        <v>1500</v>
      </c>
      <c r="BI42" s="97">
        <v>0.71940000000000004</v>
      </c>
      <c r="BJ42" s="97">
        <v>0.11020000000000001</v>
      </c>
      <c r="BK42" s="97">
        <v>0</v>
      </c>
      <c r="BL42" s="97">
        <v>3.0000000000000001E-3</v>
      </c>
      <c r="BM42" s="64">
        <f t="shared" si="5"/>
        <v>1.4713690000000001E-2</v>
      </c>
      <c r="BN42" s="97">
        <v>0.12130000000000001</v>
      </c>
      <c r="BO42" s="98"/>
    </row>
    <row r="43" spans="2:67" ht="16.5">
      <c r="B43" s="31"/>
      <c r="C43" s="282" t="s">
        <v>424</v>
      </c>
      <c r="D43" s="125">
        <f t="shared" ref="D43:G43" si="15">SUM(D36:D42)</f>
        <v>1.9216798701451732</v>
      </c>
      <c r="E43" s="125">
        <f t="shared" si="15"/>
        <v>0.4461846184664694</v>
      </c>
      <c r="F43" s="125">
        <f t="shared" si="15"/>
        <v>27.882223726162039</v>
      </c>
      <c r="G43" s="125">
        <f t="shared" si="15"/>
        <v>33.039360339640027</v>
      </c>
      <c r="H43" s="125"/>
      <c r="I43" s="125">
        <f>SUM(I36:I42)</f>
        <v>178.60284624324734</v>
      </c>
      <c r="K43" s="59" t="str">
        <f>Implements7[[#This Row],[Implement type]]&amp;", "&amp;Implements7[[#This Row],[Width]]&amp;" "&amp;Implements7[[#This Row],[Width Unit]]</f>
        <v>Round baler w/net wrap, 30 Ft</v>
      </c>
      <c r="L43" s="75" t="s">
        <v>702</v>
      </c>
      <c r="M43" s="76">
        <v>30</v>
      </c>
      <c r="N43" s="75" t="s">
        <v>536</v>
      </c>
      <c r="O43" s="76" t="s">
        <v>607</v>
      </c>
      <c r="P43" s="76"/>
      <c r="Q43" s="77">
        <v>110000</v>
      </c>
      <c r="R43" s="78">
        <v>0.1</v>
      </c>
      <c r="S43" s="79">
        <f t="shared" si="13"/>
        <v>122222.22222222222</v>
      </c>
      <c r="T43" s="76">
        <v>12</v>
      </c>
      <c r="U43" s="76">
        <v>200</v>
      </c>
      <c r="V43" s="80">
        <f t="shared" si="14"/>
        <v>2363.6363636363635</v>
      </c>
      <c r="W43" s="76" t="s">
        <v>578</v>
      </c>
      <c r="X43" s="76">
        <v>5</v>
      </c>
      <c r="Y43" s="78">
        <v>0.65</v>
      </c>
      <c r="Z43" s="78">
        <v>1.1100000000000001</v>
      </c>
      <c r="AA43" s="76">
        <v>120</v>
      </c>
      <c r="AB43" s="99">
        <f>(VLOOKUP(Implements7[[#This Row],[ASABEtype]],ASABECoefficients[],5)-VLOOKUP(Implements7[[#This Row],[ASABEtype]],ASABECoefficients[],6)*Implements7[[#This Row],[Life (yr)]]^0.5-VLOOKUP(Implements7[[#This Row],[ASABEtype]],ASABECoefficients[],7)*Implements7[[#This Row],[Use (hr/yr)]]^0.5+VLOOKUP(Implements7[[#This Row],[ASABEtype]],ASABECoefficients[],8)*$BR$17)^2+0.25*VLOOKUP(Implements7[[#This Row],[ASABEtype]],ASABECoefficients[],9)</f>
        <v>0.29407083603500145</v>
      </c>
      <c r="AC43" s="100">
        <f>Implements7[[#This Row],[TradeIn%]]*Implements7[[#This Row],[PriceL]]</f>
        <v>35941.991070944619</v>
      </c>
      <c r="AD43" s="101">
        <f>(Implements7[[#This Row],[PriceP]]-Implements7[[#This Row],[TradeIn$]])/Implements7[[#This Row],[Life (yr)]]/Implements7[[#This Row],[Use (ac/yr)]]</f>
        <v>2.6110195455756711</v>
      </c>
      <c r="AE43" s="84">
        <f>((Implements7[[#This Row],[PriceP]]+Implements7[[#This Row],[TradeIn$]])/2*($BR$7+$BR$8+$BR$9)+Implements7[[#This Row],[Shed (ft^2)]]*$BR$12)/Implements7[[#This Row],[Use (ac/yr)]]</f>
        <v>2.0096003620348193</v>
      </c>
      <c r="AF43" s="102">
        <f>Implements7[[#This Row],[PriceL]]*(VLOOKUP(Implements7[[#This Row],[ASABEtype]],ASABECoefficients[],2)*(Implements7[[#This Row],[Life (yr)]]*Implements7[[#This Row],[Use (hr/yr)]]/1000)^VLOOKUP(Implements7[[#This Row],[ASABEtype]],ASABECoefficients[],3))/Implements7[[#This Row],[Life (yr)]]/Implements7[[#This Row],[Use (ac/yr)]]</f>
        <v>8.9585342316030179</v>
      </c>
      <c r="AG43" s="61">
        <f>$BR$18/(Implements7[[#This Row],[Width]]*Implements7[[#This Row],[Speed]]*Implements7[[#This Row],[Efficiency]])</f>
        <v>8.461538461538462E-2</v>
      </c>
      <c r="AH43" s="86">
        <f>SUM(Implements7[[#This Row],[Depr ($/ac)]:[OH (interest, insurance, taxes, housing) ($/ac)]])</f>
        <v>4.6206199076104904</v>
      </c>
      <c r="AI43" s="87">
        <v>34</v>
      </c>
      <c r="AJ43" s="59" t="s">
        <v>732</v>
      </c>
      <c r="AK43" s="86"/>
      <c r="BE43" s="67" t="s">
        <v>545</v>
      </c>
      <c r="BF43" s="97">
        <v>0.18</v>
      </c>
      <c r="BG43" s="97">
        <v>1.7</v>
      </c>
      <c r="BH43" s="97">
        <v>2000</v>
      </c>
      <c r="BI43" s="97">
        <v>0.71940000000000004</v>
      </c>
      <c r="BJ43" s="97">
        <v>0.11020000000000001</v>
      </c>
      <c r="BK43" s="97">
        <v>0</v>
      </c>
      <c r="BL43" s="97">
        <v>3.0000000000000001E-3</v>
      </c>
      <c r="BM43" s="64">
        <f t="shared" si="5"/>
        <v>1.4713690000000001E-2</v>
      </c>
      <c r="BN43" s="97">
        <v>0.12130000000000001</v>
      </c>
      <c r="BO43" s="98"/>
    </row>
    <row r="44" spans="2:67">
      <c r="K44" s="59" t="str">
        <f>Implements7[[#This Row],[Implement type]]&amp;", "&amp;Implements7[[#This Row],[Width]]&amp;" "&amp;Implements7[[#This Row],[Width Unit]]</f>
        <v>Round baler, 30 Ft</v>
      </c>
      <c r="L44" s="75" t="s">
        <v>606</v>
      </c>
      <c r="M44" s="76">
        <v>30</v>
      </c>
      <c r="N44" s="75" t="s">
        <v>536</v>
      </c>
      <c r="O44" s="76" t="s">
        <v>607</v>
      </c>
      <c r="P44" s="76"/>
      <c r="Q44" s="77">
        <v>100500</v>
      </c>
      <c r="R44" s="78">
        <v>0.1</v>
      </c>
      <c r="S44" s="79">
        <f t="shared" si="13"/>
        <v>111666.66666666666</v>
      </c>
      <c r="T44" s="76">
        <v>12</v>
      </c>
      <c r="U44" s="76">
        <v>200</v>
      </c>
      <c r="V44" s="80">
        <f t="shared" si="14"/>
        <v>2363.6363636363635</v>
      </c>
      <c r="W44" s="76" t="s">
        <v>578</v>
      </c>
      <c r="X44" s="76">
        <v>5</v>
      </c>
      <c r="Y44" s="78">
        <v>0.65</v>
      </c>
      <c r="Z44" s="78">
        <v>1.1100000000000001</v>
      </c>
      <c r="AA44" s="76">
        <v>120</v>
      </c>
      <c r="AB44" s="99">
        <f>(VLOOKUP(Implements7[[#This Row],[ASABEtype]],ASABECoefficients[],5)-VLOOKUP(Implements7[[#This Row],[ASABEtype]],ASABECoefficients[],6)*Implements7[[#This Row],[Life (yr)]]^0.5-VLOOKUP(Implements7[[#This Row],[ASABEtype]],ASABECoefficients[],7)*Implements7[[#This Row],[Use (hr/yr)]]^0.5+VLOOKUP(Implements7[[#This Row],[ASABEtype]],ASABECoefficients[],8)*$BR$17)^2+0.25*VLOOKUP(Implements7[[#This Row],[ASABEtype]],ASABECoefficients[],9)</f>
        <v>0.29407083603500145</v>
      </c>
      <c r="AC44" s="100">
        <f>Implements7[[#This Row],[TradeIn%]]*Implements7[[#This Row],[PriceL]]</f>
        <v>32837.910023908495</v>
      </c>
      <c r="AD44" s="101">
        <f>(Implements7[[#This Row],[PriceP]]-Implements7[[#This Row],[TradeIn$]])/Implements7[[#This Row],[Life (yr)]]/Implements7[[#This Row],[Use (ac/yr)]]</f>
        <v>2.3855224030032263</v>
      </c>
      <c r="AE44" s="84">
        <f>((Implements7[[#This Row],[PriceP]]+Implements7[[#This Row],[TradeIn$]])/2*($BR$7+$BR$8+$BR$9)+Implements7[[#This Row],[Shed (ft^2)]]*$BR$12)/Implements7[[#This Row],[Use (ac/yr)]]</f>
        <v>1.8402936195087671</v>
      </c>
      <c r="AF44" s="102">
        <f>Implements7[[#This Row],[PriceL]]*(VLOOKUP(Implements7[[#This Row],[ASABEtype]],ASABECoefficients[],2)*(Implements7[[#This Row],[Life (yr)]]*Implements7[[#This Row],[Use (hr/yr)]]/1000)^VLOOKUP(Implements7[[#This Row],[ASABEtype]],ASABECoefficients[],3))/Implements7[[#This Row],[Life (yr)]]/Implements7[[#This Row],[Use (ac/yr)]]</f>
        <v>8.1848426388736648</v>
      </c>
      <c r="AG44" s="61">
        <f>$BR$18/(Implements7[[#This Row],[Width]]*Implements7[[#This Row],[Speed]]*Implements7[[#This Row],[Efficiency]])</f>
        <v>8.461538461538462E-2</v>
      </c>
      <c r="AH44" s="86">
        <f>SUM(Implements7[[#This Row],[Depr ($/ac)]:[OH (interest, insurance, taxes, housing) ($/ac)]])</f>
        <v>4.2258160225119932</v>
      </c>
      <c r="AI44" s="87">
        <v>33</v>
      </c>
      <c r="AJ44" s="59" t="s">
        <v>732</v>
      </c>
      <c r="AK44" s="86"/>
      <c r="BE44" s="67" t="s">
        <v>616</v>
      </c>
      <c r="BF44" s="97">
        <v>1.4999999999999999E-2</v>
      </c>
      <c r="BG44" s="97">
        <v>1.6</v>
      </c>
      <c r="BH44" s="97">
        <v>5000</v>
      </c>
      <c r="BI44" s="97">
        <v>0.80910000000000004</v>
      </c>
      <c r="BJ44" s="97">
        <v>0.1109</v>
      </c>
      <c r="BK44" s="97">
        <v>0</v>
      </c>
      <c r="BL44" s="97">
        <v>1.4E-3</v>
      </c>
      <c r="BM44" s="64">
        <f t="shared" si="5"/>
        <v>1.605289E-2</v>
      </c>
      <c r="BN44" s="97">
        <v>0.12670000000000001</v>
      </c>
      <c r="BO44" s="98" t="s">
        <v>581</v>
      </c>
    </row>
    <row r="45" spans="2:67">
      <c r="B45" s="317" t="s">
        <v>712</v>
      </c>
      <c r="C45" s="317"/>
      <c r="D45" s="317"/>
      <c r="E45" s="317"/>
      <c r="F45" s="317"/>
      <c r="G45" s="317"/>
      <c r="H45" s="317"/>
      <c r="I45" s="317"/>
      <c r="K45" s="59" t="str">
        <f>Implements7[[#This Row],[Implement type]]&amp;", "&amp;Implements7[[#This Row],[Width]]&amp;" "&amp;Implements7[[#This Row],[Width Unit]]</f>
        <v>Small square baler, twine tie, 20 Ft</v>
      </c>
      <c r="L45" s="105" t="s">
        <v>695</v>
      </c>
      <c r="M45" s="76">
        <v>20</v>
      </c>
      <c r="N45" s="75" t="s">
        <v>536</v>
      </c>
      <c r="O45" s="76" t="s">
        <v>30</v>
      </c>
      <c r="P45" s="76" t="s">
        <v>30</v>
      </c>
      <c r="Q45" s="77">
        <v>36000</v>
      </c>
      <c r="R45" s="78">
        <v>0.1</v>
      </c>
      <c r="S45" s="79">
        <f t="shared" si="13"/>
        <v>40000</v>
      </c>
      <c r="T45" s="76">
        <v>12</v>
      </c>
      <c r="U45" s="76">
        <v>200</v>
      </c>
      <c r="V45" s="80">
        <f t="shared" si="14"/>
        <v>1454.5454545454545</v>
      </c>
      <c r="W45" s="76" t="s">
        <v>600</v>
      </c>
      <c r="X45" s="76">
        <v>4</v>
      </c>
      <c r="Y45" s="78">
        <v>0.75</v>
      </c>
      <c r="Z45" s="78">
        <v>1.1100000000000001</v>
      </c>
      <c r="AA45" s="76">
        <v>184</v>
      </c>
      <c r="AB45" s="99">
        <f>(VLOOKUP(Implements7[[#This Row],[ASABEtype]],ASABECoefficients[],5)-VLOOKUP(Implements7[[#This Row],[ASABEtype]],ASABECoefficients[],6)*Implements7[[#This Row],[Life (yr)]]^0.5-VLOOKUP(Implements7[[#This Row],[ASABEtype]],ASABECoefficients[],7)*Implements7[[#This Row],[Use (hr/yr)]]^0.5+VLOOKUP(Implements7[[#This Row],[ASABEtype]],ASABECoefficients[],8)*$BR$17)^2+0.25*VLOOKUP(Implements7[[#This Row],[ASABEtype]],ASABECoefficients[],9)</f>
        <v>0.29407083603500145</v>
      </c>
      <c r="AC45" s="100">
        <f>Implements7[[#This Row],[TradeIn%]]*Implements7[[#This Row],[PriceL]]</f>
        <v>11762.833441400058</v>
      </c>
      <c r="AD45" s="101">
        <f>(Implements7[[#This Row],[PriceP]]-Implements7[[#This Row],[TradeIn$]])/Implements7[[#This Row],[Life (yr)]]/Implements7[[#This Row],[Use (ac/yr)]]</f>
        <v>1.3885876674197886</v>
      </c>
      <c r="AE45" s="84">
        <f>((Implements7[[#This Row],[PriceP]]+Implements7[[#This Row],[TradeIn$]])/2*($BR$7+$BR$8+$BR$9)+Implements7[[#This Row],[Shed (ft^2)]]*$BR$12)/Implements7[[#This Row],[Use (ac/yr)]]</f>
        <v>1.1651792975534427</v>
      </c>
      <c r="AF45" s="102">
        <f>Implements7[[#This Row],[PriceL]]*(VLOOKUP(Implements7[[#This Row],[ASABEtype]],ASABECoefficients[],2)*(Implements7[[#This Row],[Life (yr)]]*Implements7[[#This Row],[Use (hr/yr)]]/1000)^VLOOKUP(Implements7[[#This Row],[ASABEtype]],ASABECoefficients[],3))/Implements7[[#This Row],[Life (yr)]]/Implements7[[#This Row],[Use (ac/yr)]]</f>
        <v>2.5483526022456364</v>
      </c>
      <c r="AG45" s="61">
        <f>$BR$18/(Implements7[[#This Row],[Width]]*Implements7[[#This Row],[Speed]]*Implements7[[#This Row],[Efficiency]])</f>
        <v>0.13750000000000001</v>
      </c>
      <c r="AH45" s="86">
        <f>SUM(Implements7[[#This Row],[Depr ($/ac)]:[OH (interest, insurance, taxes, housing) ($/ac)]])</f>
        <v>2.5537669649732315</v>
      </c>
      <c r="AI45" s="87">
        <v>32</v>
      </c>
      <c r="AJ45" s="59" t="s">
        <v>732</v>
      </c>
      <c r="AK45" s="86"/>
      <c r="BE45" s="67" t="s">
        <v>537</v>
      </c>
      <c r="BF45" s="97">
        <v>7.0000000000000001E-3</v>
      </c>
      <c r="BG45" s="97">
        <v>2</v>
      </c>
      <c r="BH45" s="97">
        <v>12000</v>
      </c>
      <c r="BI45" s="97">
        <v>0.84930000000000005</v>
      </c>
      <c r="BJ45" s="97">
        <v>9.6600000000000005E-2</v>
      </c>
      <c r="BK45" s="97">
        <v>5.8999999999999999E-3</v>
      </c>
      <c r="BL45" s="97">
        <v>3.8E-3</v>
      </c>
      <c r="BM45" s="64">
        <f t="shared" si="5"/>
        <v>1.1278440000000001E-2</v>
      </c>
      <c r="BN45" s="97">
        <v>0.1062</v>
      </c>
      <c r="BO45" s="98"/>
    </row>
    <row r="46" spans="2:67">
      <c r="B46" s="318" t="s">
        <v>674</v>
      </c>
      <c r="C46" s="320" t="s">
        <v>675</v>
      </c>
      <c r="D46" s="320" t="s">
        <v>676</v>
      </c>
      <c r="E46" s="320" t="s">
        <v>677</v>
      </c>
      <c r="F46" s="278" t="s">
        <v>422</v>
      </c>
      <c r="G46" s="278" t="s">
        <v>423</v>
      </c>
      <c r="H46" s="278"/>
      <c r="I46" s="321" t="s">
        <v>678</v>
      </c>
      <c r="K46" s="59" t="str">
        <f>Implements7[[#This Row],[Implement type]]&amp;", "&amp;Implements7[[#This Row],[Width]]&amp;" "&amp;Implements7[[#This Row],[Width Unit]]</f>
        <v>Rotary Mower (brush hog), 15 Ft Folding</v>
      </c>
      <c r="L46" s="105" t="s">
        <v>701</v>
      </c>
      <c r="M46" s="76">
        <v>15</v>
      </c>
      <c r="N46" s="75" t="s">
        <v>681</v>
      </c>
      <c r="O46" s="76"/>
      <c r="P46" s="105"/>
      <c r="Q46" s="77">
        <v>28000</v>
      </c>
      <c r="R46" s="78">
        <v>0.1</v>
      </c>
      <c r="S46" s="79">
        <f t="shared" si="13"/>
        <v>31111.111111111109</v>
      </c>
      <c r="T46" s="76">
        <v>12</v>
      </c>
      <c r="U46" s="76">
        <v>100</v>
      </c>
      <c r="V46" s="80">
        <f t="shared" si="14"/>
        <v>772.72727272727275</v>
      </c>
      <c r="W46" s="76" t="s">
        <v>589</v>
      </c>
      <c r="X46" s="76">
        <v>5</v>
      </c>
      <c r="Y46" s="78">
        <v>0.85</v>
      </c>
      <c r="Z46" s="78">
        <v>1.04</v>
      </c>
      <c r="AA46" s="76">
        <v>130</v>
      </c>
      <c r="AB46" s="99">
        <f>(VLOOKUP(Implements7[[#This Row],[ASABEtype]],ASABECoefficients[],5)-VLOOKUP(Implements7[[#This Row],[ASABEtype]],ASABECoefficients[],6)*Implements7[[#This Row],[Life (yr)]]^0.5-VLOOKUP(Implements7[[#This Row],[ASABEtype]],ASABECoefficients[],7)*Implements7[[#This Row],[Use (hr/yr)]]^0.5+VLOOKUP(Implements7[[#This Row],[ASABEtype]],ASABECoefficients[],8)*$BR$17)^2+0.25*VLOOKUP(Implements7[[#This Row],[ASABEtype]],ASABECoefficients[],9)</f>
        <v>0.29790868815561528</v>
      </c>
      <c r="AC46" s="100">
        <f>Implements7[[#This Row],[TradeIn%]]*Implements7[[#This Row],[PriceL]]</f>
        <v>9268.270298174697</v>
      </c>
      <c r="AD46" s="101">
        <f>(Implements7[[#This Row],[PriceP]]-Implements7[[#This Row],[TradeIn$]])/Implements7[[#This Row],[Life (yr)]]/Implements7[[#This Row],[Use (ac/yr)]]</f>
        <v>2.0200884972556694</v>
      </c>
      <c r="AE46" s="126">
        <f>((Implements7[[#This Row],[PriceP]]+Implements7[[#This Row],[TradeIn$]])/2*($BR$7+$BR$8+$BR$9)+Implements7[[#This Row],[Shed (ft^2)]]*$BR$12)/Implements7[[#This Row],[Use (ac/yr)]]</f>
        <v>1.6943442963486552</v>
      </c>
      <c r="AF46" s="102">
        <f>Implements7[[#This Row],[PriceL]]*(VLOOKUP(Implements7[[#This Row],[ASABEtype]],ASABECoefficients[],2)*(Implements7[[#This Row],[Life (yr)]]*Implements7[[#This Row],[Use (hr/yr)]]/1000)^VLOOKUP(Implements7[[#This Row],[ASABEtype]],ASABECoefficients[],3))/Implements7[[#This Row],[Life (yr)]]/Implements7[[#This Row],[Use (ac/yr)]]</f>
        <v>2.1258039215686271</v>
      </c>
      <c r="AG46" s="61">
        <f>$BR$18/(Implements7[[#This Row],[Width]]*Implements7[[#This Row],[Speed]]*Implements7[[#This Row],[Efficiency]])</f>
        <v>0.12941176470588237</v>
      </c>
      <c r="AH46" s="86">
        <f>SUM(Implements7[[#This Row],[Depr ($/ac)]:[OH (interest, insurance, taxes, housing) ($/ac)]])</f>
        <v>3.7144327936043249</v>
      </c>
      <c r="AI46" s="86"/>
      <c r="AJ46" s="59" t="s">
        <v>733</v>
      </c>
      <c r="AK46" s="86"/>
      <c r="BE46" s="67" t="s">
        <v>618</v>
      </c>
      <c r="BF46" s="97">
        <v>0.19</v>
      </c>
      <c r="BG46" s="97">
        <v>1.3</v>
      </c>
      <c r="BH46" s="97">
        <v>3000</v>
      </c>
      <c r="BI46" s="97">
        <v>0.80910000000000004</v>
      </c>
      <c r="BJ46" s="97">
        <v>0.1109</v>
      </c>
      <c r="BK46" s="97">
        <v>0</v>
      </c>
      <c r="BL46" s="97">
        <v>1.4E-3</v>
      </c>
      <c r="BM46" s="64">
        <f t="shared" si="5"/>
        <v>1.605289E-2</v>
      </c>
      <c r="BN46" s="97">
        <v>0.12670000000000001</v>
      </c>
      <c r="BO46" s="98"/>
    </row>
    <row r="47" spans="2:67">
      <c r="B47" s="319"/>
      <c r="C47" s="317"/>
      <c r="D47" s="317"/>
      <c r="E47" s="317"/>
      <c r="F47" s="248" t="s">
        <v>427</v>
      </c>
      <c r="G47" s="248" t="s">
        <v>427</v>
      </c>
      <c r="H47" s="248" t="s">
        <v>698</v>
      </c>
      <c r="I47" s="322"/>
      <c r="K47" s="59" t="str">
        <f>Implements7[[#This Row],[Implement type]]&amp;", "&amp;Implements7[[#This Row],[Width]]&amp;" "&amp;Implements7[[#This Row],[Width Unit]]</f>
        <v>Stalk shredder, 20 Ft Folding</v>
      </c>
      <c r="L47" s="105" t="s">
        <v>595</v>
      </c>
      <c r="M47" s="76">
        <v>20</v>
      </c>
      <c r="N47" s="75" t="str">
        <f>IF(M47&gt;15,"Ft Folding","Ft")</f>
        <v>Ft Folding</v>
      </c>
      <c r="O47" s="76"/>
      <c r="P47" s="76"/>
      <c r="Q47" s="77">
        <v>39000</v>
      </c>
      <c r="R47" s="78">
        <v>0.1</v>
      </c>
      <c r="S47" s="79">
        <f t="shared" si="13"/>
        <v>43333.333333333336</v>
      </c>
      <c r="T47" s="76">
        <v>12</v>
      </c>
      <c r="U47" s="76">
        <v>100</v>
      </c>
      <c r="V47" s="80">
        <f t="shared" si="14"/>
        <v>775.75757575757575</v>
      </c>
      <c r="W47" s="76" t="s">
        <v>542</v>
      </c>
      <c r="X47" s="76">
        <v>4</v>
      </c>
      <c r="Y47" s="78">
        <v>0.8</v>
      </c>
      <c r="Z47" s="78">
        <v>1.1000000000000001</v>
      </c>
      <c r="AA47" s="76">
        <v>231</v>
      </c>
      <c r="AB47" s="99">
        <f>(VLOOKUP(Implements7[[#This Row],[ASABEtype]],ASABECoefficients[],5)-VLOOKUP(Implements7[[#This Row],[ASABEtype]],ASABECoefficients[],6)*Implements7[[#This Row],[Life (yr)]]^0.5-VLOOKUP(Implements7[[#This Row],[ASABEtype]],ASABECoefficients[],7)*Implements7[[#This Row],[Use (hr/yr)]]^0.5+VLOOKUP(Implements7[[#This Row],[ASABEtype]],ASABECoefficients[],8)*$BR$17)^2+0.25*VLOOKUP(Implements7[[#This Row],[ASABEtype]],ASABECoefficients[],9)</f>
        <v>0.34143443659524941</v>
      </c>
      <c r="AC47" s="100">
        <f>Implements7[[#This Row],[TradeIn%]]*Implements7[[#This Row],[PriceL]]</f>
        <v>14795.492252460808</v>
      </c>
      <c r="AD47" s="101">
        <f>(Implements7[[#This Row],[PriceP]]-Implements7[[#This Row],[TradeIn$]])/Implements7[[#This Row],[Life (yr)]]/Implements7[[#This Row],[Use (ac/yr)]]</f>
        <v>2.6000936056926864</v>
      </c>
      <c r="AE47" s="84">
        <f>((Implements7[[#This Row],[PriceP]]+Implements7[[#This Row],[TradeIn$]])/2*($BR$7+$BR$8+$BR$9)+Implements7[[#This Row],[Shed (ft^2)]]*$BR$12)/Implements7[[#This Row],[Use (ac/yr)]]</f>
        <v>2.4903352798329368</v>
      </c>
      <c r="AF47" s="102">
        <f>Implements7[[#This Row],[PriceL]]*(VLOOKUP(Implements7[[#This Row],[ASABEtype]],ASABECoefficients[],2)*(Implements7[[#This Row],[Life (yr)]]*Implements7[[#This Row],[Use (hr/yr)]]/1000)^VLOOKUP(Implements7[[#This Row],[ASABEtype]],ASABECoefficients[],3))/Implements7[[#This Row],[Life (yr)]]/Implements7[[#This Row],[Use (ac/yr)]]</f>
        <v>1.6823897042023481</v>
      </c>
      <c r="AG47" s="61">
        <f>$BR$18/(Implements7[[#This Row],[Width]]*Implements7[[#This Row],[Speed]]*Implements7[[#This Row],[Efficiency]])</f>
        <v>0.12890625</v>
      </c>
      <c r="AH47" s="86">
        <f>SUM(Implements7[[#This Row],[Depr ($/ac)]:[OH (interest, insurance, taxes, housing) ($/ac)]])</f>
        <v>5.0904288855256237</v>
      </c>
      <c r="AI47" s="87">
        <v>27</v>
      </c>
      <c r="AJ47" s="59" t="s">
        <v>733</v>
      </c>
      <c r="AK47" s="86"/>
      <c r="BE47" s="67" t="s">
        <v>603</v>
      </c>
      <c r="BF47" s="97">
        <v>0.06</v>
      </c>
      <c r="BG47" s="97">
        <v>2</v>
      </c>
      <c r="BH47" s="97">
        <v>3000</v>
      </c>
      <c r="BI47" s="97">
        <v>0.72430000000000005</v>
      </c>
      <c r="BJ47" s="97">
        <v>0.11269999999999999</v>
      </c>
      <c r="BK47" s="97">
        <v>0</v>
      </c>
      <c r="BL47" s="97">
        <v>3.3999999999999998E-3</v>
      </c>
      <c r="BM47" s="64">
        <f t="shared" si="5"/>
        <v>1.4113440000000001E-2</v>
      </c>
      <c r="BN47" s="97">
        <v>0.1188</v>
      </c>
      <c r="BO47" s="98"/>
    </row>
    <row r="48" spans="2:67" ht="16.5">
      <c r="B48" s="31"/>
      <c r="C48" s="31"/>
      <c r="D48" s="123" t="s">
        <v>744</v>
      </c>
      <c r="E48" s="123" t="s">
        <v>745</v>
      </c>
      <c r="F48" s="123" t="s">
        <v>746</v>
      </c>
      <c r="G48" s="123" t="s">
        <v>746</v>
      </c>
      <c r="H48" s="123" t="s">
        <v>748</v>
      </c>
      <c r="I48" s="123" t="s">
        <v>747</v>
      </c>
      <c r="K48" s="59" t="str">
        <f>Implements7[[#This Row],[Implement type]]&amp;", "&amp;Implements7[[#This Row],[Width]]&amp;" "&amp;Implements7[[#This Row],[Width Unit]]</f>
        <v>Air seeder drill w/cart, 52 Ft Folding</v>
      </c>
      <c r="L48" s="105" t="s">
        <v>583</v>
      </c>
      <c r="M48" s="76">
        <v>52</v>
      </c>
      <c r="N48" s="75" t="str">
        <f>IF(M48&gt;15,"Ft Folding","Ft")</f>
        <v>Ft Folding</v>
      </c>
      <c r="O48" s="76"/>
      <c r="P48" s="76"/>
      <c r="Q48" s="77">
        <v>339000</v>
      </c>
      <c r="R48" s="78">
        <v>0.1</v>
      </c>
      <c r="S48" s="79">
        <f t="shared" si="13"/>
        <v>376666.66666666669</v>
      </c>
      <c r="T48" s="76">
        <v>12</v>
      </c>
      <c r="U48" s="76">
        <v>80</v>
      </c>
      <c r="V48" s="80">
        <f t="shared" si="14"/>
        <v>1764.8484848484848</v>
      </c>
      <c r="W48" s="76" t="s">
        <v>575</v>
      </c>
      <c r="X48" s="76">
        <v>5</v>
      </c>
      <c r="Y48" s="78">
        <v>0.7</v>
      </c>
      <c r="Z48" s="78">
        <v>1.1100000000000001</v>
      </c>
      <c r="AA48" s="76">
        <v>270</v>
      </c>
      <c r="AB48" s="99">
        <f>(VLOOKUP(Implements7[[#This Row],[ASABEtype]],ASABECoefficients[],5)-VLOOKUP(Implements7[[#This Row],[ASABEtype]],ASABECoefficients[],6)*Implements7[[#This Row],[Life (yr)]]^0.5-VLOOKUP(Implements7[[#This Row],[ASABEtype]],ASABECoefficients[],7)*Implements7[[#This Row],[Use (hr/yr)]]^0.5+VLOOKUP(Implements7[[#This Row],[ASABEtype]],ASABECoefficients[],8)*$BR$17)^2+0.25*VLOOKUP(Implements7[[#This Row],[ASABEtype]],ASABECoefficients[],9)</f>
        <v>0.23573589577499662</v>
      </c>
      <c r="AC48" s="100">
        <f>Implements7[[#This Row],[TradeIn%]]*Implements7[[#This Row],[PriceL]]</f>
        <v>88793.854075248732</v>
      </c>
      <c r="AD48" s="101">
        <f>(Implements7[[#This Row],[PriceP]]-Implements7[[#This Row],[TradeIn$]])/Implements7[[#This Row],[Life (yr)]]/Implements7[[#This Row],[Use (ac/yr)]]</f>
        <v>11.814335530444128</v>
      </c>
      <c r="AE48" s="84">
        <f>((Implements7[[#This Row],[PriceP]]+Implements7[[#This Row],[TradeIn$]])/2*($BR$7+$BR$8+$BR$9)+Implements7[[#This Row],[Shed (ft^2)]]*$BR$12)/Implements7[[#This Row],[Use (ac/yr)]]</f>
        <v>7.8443810365580813</v>
      </c>
      <c r="AF48" s="102">
        <f>Implements7[[#This Row],[PriceL]]*(VLOOKUP(Implements7[[#This Row],[ASABEtype]],ASABECoefficients[],2)*(Implements7[[#This Row],[Life (yr)]]*Implements7[[#This Row],[Use (hr/yr)]]/1000)^VLOOKUP(Implements7[[#This Row],[ASABEtype]],ASABECoefficients[],3))/Implements7[[#This Row],[Life (yr)]]/Implements7[[#This Row],[Use (ac/yr)]]</f>
        <v>5.2238185588642949</v>
      </c>
      <c r="AG48" s="61">
        <f>$BR$18/(Implements7[[#This Row],[Width]]*Implements7[[#This Row],[Speed]]*Implements7[[#This Row],[Efficiency]])</f>
        <v>4.5329670329670328E-2</v>
      </c>
      <c r="AH48" s="86">
        <f>SUM(Implements7[[#This Row],[Depr ($/ac)]:[OH (interest, insurance, taxes, housing) ($/ac)]])</f>
        <v>19.658716567002209</v>
      </c>
      <c r="AI48" s="87">
        <v>22</v>
      </c>
      <c r="AJ48" s="59" t="s">
        <v>731</v>
      </c>
      <c r="AK48" s="86"/>
      <c r="BE48" s="59" t="s">
        <v>621</v>
      </c>
      <c r="BF48" s="60">
        <v>7.0000000000000001E-3</v>
      </c>
      <c r="BG48" s="60">
        <v>2</v>
      </c>
      <c r="BH48" s="60">
        <v>3000</v>
      </c>
      <c r="BI48" s="60">
        <v>0.72750000000000004</v>
      </c>
      <c r="BJ48" s="60">
        <v>8.0600000000000005E-2</v>
      </c>
      <c r="BK48" s="60">
        <v>2.5000000000000001E-3</v>
      </c>
      <c r="BL48" s="60">
        <v>4.0000000000000001E-3</v>
      </c>
      <c r="BM48" s="59">
        <v>8.1199999999999994E-2</v>
      </c>
      <c r="BN48" s="97"/>
      <c r="BO48" s="98"/>
    </row>
    <row r="49" spans="2:67">
      <c r="B49" s="275" t="s">
        <v>722</v>
      </c>
      <c r="C49" s="275" t="s">
        <v>680</v>
      </c>
      <c r="D49" s="277">
        <f>IF(ISBLANK(C49),"",VLOOKUP(C49,Power1[],17,FALSE)*VLOOKUP(B49,Implements7[],23,FALSE))</f>
        <v>0.98874285714285715</v>
      </c>
      <c r="E49" s="277">
        <f>IF(ISBLANK(B49),"",VLOOKUP(B49,Implements7[],23,FALSE)*VLOOKUP(B49,Implements7[],16,FALSE))</f>
        <v>0.17442857142857143</v>
      </c>
      <c r="F49" s="124">
        <f>IFERROR(IF(ISBLANK(C49),"",D49*$BR$10+E49*$BR$6+VLOOKUP(C49,Power1[],16,FALSE)*VLOOKUP(B49,Implements7[],23,FALSE))+VLOOKUP(B49,Implements7[],22,FALSE),"")</f>
        <v>11.72879401558389</v>
      </c>
      <c r="G49" s="277">
        <f>IF(ISBLANK(B49),"",VLOOKUP(B49,Implements7[],24,FALSE)+VLOOKUP(C49,Power1[],18,FALSE)*VLOOKUP(B49,Implements7[],23,FALSE))</f>
        <v>20.364463222475301</v>
      </c>
      <c r="H49" s="283">
        <v>1</v>
      </c>
      <c r="I49" s="124">
        <f t="shared" ref="I49:I51" si="16">IF(ISBLANK(B49),"",SUM(F49:G49)*H49)</f>
        <v>32.093257238059195</v>
      </c>
      <c r="K49" s="59" t="str">
        <f>Implements7[[#This Row],[Implement type]]&amp;", "&amp;Implements7[[#This Row],[Width]]&amp;" "&amp;Implements7[[#This Row],[Width Unit]]</f>
        <v>No-till drill, 15 Ft</v>
      </c>
      <c r="L49" s="105" t="s">
        <v>585</v>
      </c>
      <c r="M49" s="76">
        <v>15</v>
      </c>
      <c r="N49" s="75" t="str">
        <f>IF(M49&gt;15,"Ft Folding","Ft")</f>
        <v>Ft</v>
      </c>
      <c r="O49" s="76"/>
      <c r="P49" s="76"/>
      <c r="Q49" s="77">
        <v>75500</v>
      </c>
      <c r="R49" s="78">
        <v>0.1</v>
      </c>
      <c r="S49" s="79">
        <f t="shared" si="13"/>
        <v>83888.888888888891</v>
      </c>
      <c r="T49" s="76">
        <v>12</v>
      </c>
      <c r="U49" s="76">
        <v>80</v>
      </c>
      <c r="V49" s="80">
        <f t="shared" si="14"/>
        <v>509.09090909090907</v>
      </c>
      <c r="W49" s="76" t="s">
        <v>575</v>
      </c>
      <c r="X49" s="76">
        <v>5</v>
      </c>
      <c r="Y49" s="78">
        <v>0.7</v>
      </c>
      <c r="Z49" s="78">
        <v>1.1100000000000001</v>
      </c>
      <c r="AA49" s="76">
        <v>160</v>
      </c>
      <c r="AB49" s="99">
        <f>(VLOOKUP(Implements7[[#This Row],[ASABEtype]],ASABECoefficients[],5)-VLOOKUP(Implements7[[#This Row],[ASABEtype]],ASABECoefficients[],6)*Implements7[[#This Row],[Life (yr)]]^0.5-VLOOKUP(Implements7[[#This Row],[ASABEtype]],ASABECoefficients[],7)*Implements7[[#This Row],[Use (hr/yr)]]^0.5+VLOOKUP(Implements7[[#This Row],[ASABEtype]],ASABECoefficients[],8)*$BR$17)^2+0.25*VLOOKUP(Implements7[[#This Row],[ASABEtype]],ASABECoefficients[],9)</f>
        <v>0.23573589577499662</v>
      </c>
      <c r="AC49" s="100">
        <f>Implements7[[#This Row],[TradeIn%]]*Implements7[[#This Row],[PriceL]]</f>
        <v>19775.622367791384</v>
      </c>
      <c r="AD49" s="101">
        <f>(Implements7[[#This Row],[PriceP]]-Implements7[[#This Row],[TradeIn$]])/Implements7[[#This Row],[Life (yr)]]/Implements7[[#This Row],[Use (ac/yr)]]</f>
        <v>9.1215499100341493</v>
      </c>
      <c r="AE49" s="84">
        <f>((Implements7[[#This Row],[PriceP]]+Implements7[[#This Row],[TradeIn$]])/2*($BR$7+$BR$8+$BR$9)+Implements7[[#This Row],[Shed (ft^2)]]*$BR$12)/Implements7[[#This Row],[Use (ac/yr)]]</f>
        <v>6.2465779441288705</v>
      </c>
      <c r="AF49" s="102">
        <f>Implements7[[#This Row],[PriceL]]*(VLOOKUP(Implements7[[#This Row],[ASABEtype]],ASABECoefficients[],2)*(Implements7[[#This Row],[Life (yr)]]*Implements7[[#This Row],[Use (hr/yr)]]/1000)^VLOOKUP(Implements7[[#This Row],[ASABEtype]],ASABECoefficients[],3))/Implements7[[#This Row],[Life (yr)]]/Implements7[[#This Row],[Use (ac/yr)]]</f>
        <v>4.0331783012981752</v>
      </c>
      <c r="AG49" s="61">
        <f>$BR$18/(Implements7[[#This Row],[Width]]*Implements7[[#This Row],[Speed]]*Implements7[[#This Row],[Efficiency]])</f>
        <v>0.15714285714285714</v>
      </c>
      <c r="AH49" s="86">
        <f>SUM(Implements7[[#This Row],[Depr ($/ac)]:[OH (interest, insurance, taxes, housing) ($/ac)]])</f>
        <v>15.368127854163021</v>
      </c>
      <c r="AI49" s="87">
        <v>23</v>
      </c>
      <c r="AJ49" s="59" t="s">
        <v>731</v>
      </c>
      <c r="AK49" s="86"/>
      <c r="BE49" s="64" t="s">
        <v>482</v>
      </c>
      <c r="BF49" s="97"/>
      <c r="BG49" s="97"/>
      <c r="BH49" s="97"/>
      <c r="BI49" s="97"/>
      <c r="BJ49" s="97"/>
      <c r="BK49" s="76"/>
      <c r="BL49" s="97"/>
      <c r="BM49" s="64">
        <f>BN49^2</f>
        <v>0</v>
      </c>
      <c r="BN49" s="97"/>
      <c r="BO49" s="98"/>
    </row>
    <row r="50" spans="2:67">
      <c r="B50" s="275" t="s">
        <v>713</v>
      </c>
      <c r="C50" s="275" t="s">
        <v>680</v>
      </c>
      <c r="D50" s="277">
        <f>IF(ISBLANK(C50),"",VLOOKUP(C50,Power1[],17,FALSE)*VLOOKUP(B50,Implements7[],23,FALSE))</f>
        <v>0.81425882352941181</v>
      </c>
      <c r="E50" s="277">
        <f>IF(ISBLANK(B50),"",VLOOKUP(B50,Implements7[],23,FALSE)*VLOOKUP(B50,Implements7[],16,FALSE))</f>
        <v>0.13458823529411768</v>
      </c>
      <c r="F50" s="124">
        <f>IFERROR(IF(ISBLANK(C50),"",D50*$BR$10+E50*$BR$6+VLOOKUP(C50,Power1[],16,FALSE)*VLOOKUP(B50,Implements7[],23,FALSE))+VLOOKUP(B50,Implements7[],22,FALSE),"")</f>
        <v>8.3065615686274512</v>
      </c>
      <c r="G50" s="277">
        <f>IF(ISBLANK(B50),"",VLOOKUP(B50,Implements7[],24,FALSE)+VLOOKUP(C50,Power1[],18,FALSE)*VLOOKUP(B50,Implements7[],23,FALSE))</f>
        <v>7.8290619204497318</v>
      </c>
      <c r="H50" s="283">
        <v>1</v>
      </c>
      <c r="I50" s="124">
        <f t="shared" si="16"/>
        <v>16.135623489077183</v>
      </c>
      <c r="K50" s="59" t="str">
        <f>Implements7[[#This Row],[Implement type]]&amp;", "&amp;Implements7[[#This Row],[Width]]&amp;" "&amp;Implements7[[#This Row],[Width Unit]]</f>
        <v>Presswheel drill, 16 Ft</v>
      </c>
      <c r="L50" s="105" t="s">
        <v>784</v>
      </c>
      <c r="M50" s="76">
        <v>16</v>
      </c>
      <c r="N50" s="75" t="str">
        <f>IF(M50&gt;20,"Ft Folding","Ft")</f>
        <v>Ft</v>
      </c>
      <c r="O50" s="76"/>
      <c r="P50" s="76"/>
      <c r="Q50" s="77">
        <v>29500</v>
      </c>
      <c r="R50" s="78">
        <v>0.1</v>
      </c>
      <c r="S50" s="79">
        <f t="shared" si="13"/>
        <v>32777.777777777774</v>
      </c>
      <c r="T50" s="76">
        <v>12</v>
      </c>
      <c r="U50" s="76">
        <v>75</v>
      </c>
      <c r="V50" s="80">
        <f t="shared" si="14"/>
        <v>509.09090909090907</v>
      </c>
      <c r="W50" s="76" t="s">
        <v>575</v>
      </c>
      <c r="X50" s="76">
        <v>5</v>
      </c>
      <c r="Y50" s="78">
        <v>0.7</v>
      </c>
      <c r="Z50" s="78">
        <v>1.1100000000000001</v>
      </c>
      <c r="AA50" s="76">
        <v>150</v>
      </c>
      <c r="AB50" s="99">
        <f>(VLOOKUP(Implements7[[#This Row],[ASABEtype]],ASABECoefficients[],5)-VLOOKUP(Implements7[[#This Row],[ASABEtype]],ASABECoefficients[],6)*Implements7[[#This Row],[Life (yr)]]^0.5-VLOOKUP(Implements7[[#This Row],[ASABEtype]],ASABECoefficients[],7)*Implements7[[#This Row],[Use (hr/yr)]]^0.5+VLOOKUP(Implements7[[#This Row],[ASABEtype]],ASABECoefficients[],8)*$BR$17)^2+0.25*VLOOKUP(Implements7[[#This Row],[ASABEtype]],ASABECoefficients[],9)</f>
        <v>0.23573589577499662</v>
      </c>
      <c r="AC50" s="100">
        <f>Implements7[[#This Row],[TradeIn%]]*Implements7[[#This Row],[PriceL]]</f>
        <v>7726.8988059582216</v>
      </c>
      <c r="AD50" s="101">
        <f>(Implements7[[#This Row],[PriceP]]-Implements7[[#This Row],[TradeIn$]])/Implements7[[#This Row],[Life (yr)]]/Implements7[[#This Row],[Use (ac/yr)]]</f>
        <v>3.5640493025961244</v>
      </c>
      <c r="AE50" s="84">
        <f>((Implements7[[#This Row],[PriceP]]+Implements7[[#This Row],[TradeIn$]])/2*($BR$7+$BR$8+$BR$9)+Implements7[[#This Row],[Shed (ft^2)]]*$BR$12)/Implements7[[#This Row],[Use (ac/yr)]]</f>
        <v>2.6072688745005861</v>
      </c>
      <c r="AF50" s="102">
        <f>Implements7[[#This Row],[PriceL]]*(VLOOKUP(Implements7[[#This Row],[ASABEtype]],ASABECoefficients[],2)*(Implements7[[#This Row],[Life (yr)]]*Implements7[[#This Row],[Use (hr/yr)]]/1000)^VLOOKUP(Implements7[[#This Row],[ASABEtype]],ASABECoefficients[],3))/Implements7[[#This Row],[Life (yr)]]/Implements7[[#This Row],[Use (ac/yr)]]</f>
        <v>1.3761385683767853</v>
      </c>
      <c r="AG50" s="61">
        <f>$BR$18/(Implements7[[#This Row],[Width]]*Implements7[[#This Row],[Speed]]*Implements7[[#This Row],[Efficiency]])</f>
        <v>0.14732142857142858</v>
      </c>
      <c r="AH50" s="86">
        <f>SUM(Implements7[[#This Row],[Depr ($/ac)]:[OH (interest, insurance, taxes, housing) ($/ac)]])</f>
        <v>6.17131817709671</v>
      </c>
      <c r="AI50" s="87">
        <v>18</v>
      </c>
      <c r="AJ50" s="59" t="s">
        <v>731</v>
      </c>
      <c r="AK50" s="86"/>
    </row>
    <row r="51" spans="2:67">
      <c r="B51" s="275"/>
      <c r="C51" s="275"/>
      <c r="D51" s="277" t="str">
        <f>IF(ISBLANK(C51),"",VLOOKUP(C51,Power1[],17,FALSE)*VLOOKUP(B51,Implements7[],23,FALSE))</f>
        <v/>
      </c>
      <c r="E51" s="277" t="str">
        <f>IF(ISBLANK(B51),"",VLOOKUP(B51,Implements7[],23,FALSE)*VLOOKUP(B51,Implements7[],16,FALSE))</f>
        <v/>
      </c>
      <c r="F51" s="124" t="str">
        <f>IFERROR(IF(ISBLANK(C51),"",D51*$BR$10+E51*$BR$6+VLOOKUP(C51,Power1[],16,FALSE)*VLOOKUP(B51,Implements7[],23,FALSE))+VLOOKUP(B51,Implements7[],22,FALSE),"")</f>
        <v/>
      </c>
      <c r="G51" s="277" t="str">
        <f>IF(ISBLANK(B51),"",VLOOKUP(B51,Implements7[],24,FALSE)+VLOOKUP(C51,Power1[],18,FALSE)*VLOOKUP(B51,Implements7[],23,FALSE))</f>
        <v/>
      </c>
      <c r="H51" s="283"/>
      <c r="I51" s="124" t="str">
        <f t="shared" si="16"/>
        <v/>
      </c>
      <c r="K51" s="59" t="str">
        <f>Implements7[[#This Row],[Implement type]]&amp;", "&amp;Implements7[[#This Row],[Width]]&amp;" "&amp;Implements7[[#This Row],[Width Unit]]</f>
        <v>Presswheel drill, 20 Ft</v>
      </c>
      <c r="L51" s="105" t="s">
        <v>784</v>
      </c>
      <c r="M51" s="76">
        <v>20</v>
      </c>
      <c r="N51" s="75" t="str">
        <f>IF(M51&gt;20,"Ft Folding","Ft")</f>
        <v>Ft</v>
      </c>
      <c r="O51" s="76"/>
      <c r="P51" s="76"/>
      <c r="Q51" s="77">
        <v>35000</v>
      </c>
      <c r="R51" s="78">
        <v>0.1</v>
      </c>
      <c r="S51" s="79">
        <f t="shared" si="13"/>
        <v>38888.888888888891</v>
      </c>
      <c r="T51" s="76">
        <v>12</v>
      </c>
      <c r="U51" s="76">
        <v>75</v>
      </c>
      <c r="V51" s="80">
        <f t="shared" si="14"/>
        <v>636.36363636363637</v>
      </c>
      <c r="W51" s="76" t="s">
        <v>575</v>
      </c>
      <c r="X51" s="76">
        <v>5</v>
      </c>
      <c r="Y51" s="78">
        <v>0.7</v>
      </c>
      <c r="Z51" s="78">
        <v>1.1100000000000001</v>
      </c>
      <c r="AA51" s="76">
        <v>185</v>
      </c>
      <c r="AB51" s="99">
        <f>(VLOOKUP(Implements7[[#This Row],[ASABEtype]],ASABECoefficients[],5)-VLOOKUP(Implements7[[#This Row],[ASABEtype]],ASABECoefficients[],6)*Implements7[[#This Row],[Life (yr)]]^0.5-VLOOKUP(Implements7[[#This Row],[ASABEtype]],ASABECoefficients[],7)*Implements7[[#This Row],[Use (hr/yr)]]^0.5+VLOOKUP(Implements7[[#This Row],[ASABEtype]],ASABECoefficients[],8)*$BR$17)^2+0.25*VLOOKUP(Implements7[[#This Row],[ASABEtype]],ASABECoefficients[],9)</f>
        <v>0.23573589577499662</v>
      </c>
      <c r="AC51" s="100">
        <f>Implements7[[#This Row],[TradeIn%]]*Implements7[[#This Row],[PriceL]]</f>
        <v>9167.5070579165349</v>
      </c>
      <c r="AD51" s="101">
        <f>(Implements7[[#This Row],[PriceP]]-Implements7[[#This Row],[TradeIn$]])/Implements7[[#This Row],[Life (yr)]]/Implements7[[#This Row],[Use (ac/yr)]]</f>
        <v>3.3828264567014061</v>
      </c>
      <c r="AE51" s="84">
        <f>((Implements7[[#This Row],[PriceP]]+Implements7[[#This Row],[TradeIn$]])/2*($BR$7+$BR$8+$BR$9)+Implements7[[#This Row],[Shed (ft^2)]]*$BR$12)/Implements7[[#This Row],[Use (ac/yr)]]</f>
        <v>2.4854089185740396</v>
      </c>
      <c r="AF51" s="102">
        <f>Implements7[[#This Row],[PriceL]]*(VLOOKUP(Implements7[[#This Row],[ASABEtype]],ASABECoefficients[],2)*(Implements7[[#This Row],[Life (yr)]]*Implements7[[#This Row],[Use (hr/yr)]]/1000)^VLOOKUP(Implements7[[#This Row],[ASABEtype]],ASABECoefficients[],3))/Implements7[[#This Row],[Life (yr)]]/Implements7[[#This Row],[Use (ac/yr)]]</f>
        <v>1.3061654208322031</v>
      </c>
      <c r="AG51" s="61">
        <f>$BR$18/(Implements7[[#This Row],[Width]]*Implements7[[#This Row],[Speed]]*Implements7[[#This Row],[Efficiency]])</f>
        <v>0.11785714285714285</v>
      </c>
      <c r="AH51" s="86">
        <f>SUM(Implements7[[#This Row],[Depr ($/ac)]:[OH (interest, insurance, taxes, housing) ($/ac)]])</f>
        <v>5.8682353752754457</v>
      </c>
      <c r="AI51" s="87">
        <v>19</v>
      </c>
      <c r="AJ51" s="59" t="s">
        <v>731</v>
      </c>
      <c r="AK51" s="86"/>
    </row>
    <row r="52" spans="2:67">
      <c r="B52" s="279" t="s">
        <v>403</v>
      </c>
      <c r="C52" s="279"/>
      <c r="D52" s="280"/>
      <c r="E52" s="280"/>
      <c r="F52" s="284">
        <v>7</v>
      </c>
      <c r="G52" s="284">
        <v>7</v>
      </c>
      <c r="H52" s="280"/>
      <c r="I52" s="281">
        <f>SUM(F52+G52)</f>
        <v>14</v>
      </c>
      <c r="K52" s="59" t="str">
        <f>Implements7[[#This Row],[Implement type]]&amp;", "&amp;Implements7[[#This Row],[Width]]&amp;" "&amp;Implements7[[#This Row],[Width Unit]]</f>
        <v>Presswheel drill, 25 Ft Folding</v>
      </c>
      <c r="L52" s="105" t="s">
        <v>784</v>
      </c>
      <c r="M52" s="76">
        <v>25</v>
      </c>
      <c r="N52" s="75" t="str">
        <f t="shared" ref="N52:N68" si="17">IF(M52&gt;15,"Ft Folding","Ft")</f>
        <v>Ft Folding</v>
      </c>
      <c r="O52" s="76"/>
      <c r="P52" s="76"/>
      <c r="Q52" s="77">
        <v>67500</v>
      </c>
      <c r="R52" s="78">
        <v>0.1</v>
      </c>
      <c r="S52" s="79">
        <f t="shared" si="13"/>
        <v>75000</v>
      </c>
      <c r="T52" s="76">
        <v>12</v>
      </c>
      <c r="U52" s="76">
        <v>75</v>
      </c>
      <c r="V52" s="80">
        <f t="shared" si="14"/>
        <v>795.4545454545455</v>
      </c>
      <c r="W52" s="76" t="s">
        <v>575</v>
      </c>
      <c r="X52" s="76">
        <v>5</v>
      </c>
      <c r="Y52" s="78">
        <v>0.7</v>
      </c>
      <c r="Z52" s="78">
        <v>1.1100000000000001</v>
      </c>
      <c r="AA52" s="76">
        <v>230</v>
      </c>
      <c r="AB52" s="99">
        <f>(VLOOKUP(Implements7[[#This Row],[ASABEtype]],ASABECoefficients[],5)-VLOOKUP(Implements7[[#This Row],[ASABEtype]],ASABECoefficients[],6)*Implements7[[#This Row],[Life (yr)]]^0.5-VLOOKUP(Implements7[[#This Row],[ASABEtype]],ASABECoefficients[],7)*Implements7[[#This Row],[Use (hr/yr)]]^0.5+VLOOKUP(Implements7[[#This Row],[ASABEtype]],ASABECoefficients[],8)*$BR$17)^2+0.25*VLOOKUP(Implements7[[#This Row],[ASABEtype]],ASABECoefficients[],9)</f>
        <v>0.23573589577499662</v>
      </c>
      <c r="AC52" s="100">
        <f>Implements7[[#This Row],[TradeIn%]]*Implements7[[#This Row],[PriceL]]</f>
        <v>17680.192183124745</v>
      </c>
      <c r="AD52" s="101">
        <f>(Implements7[[#This Row],[PriceP]]-Implements7[[#This Row],[TradeIn$]])/Implements7[[#This Row],[Life (yr)]]/Implements7[[#This Row],[Use (ac/yr)]]</f>
        <v>5.2192179617678836</v>
      </c>
      <c r="AE52" s="84">
        <f>((Implements7[[#This Row],[PriceP]]+Implements7[[#This Row],[TradeIn$]])/2*($BR$7+$BR$8+$BR$9)+Implements7[[#This Row],[Shed (ft^2)]]*$BR$12)/Implements7[[#This Row],[Use (ac/yr)]]</f>
        <v>3.6801492682015948</v>
      </c>
      <c r="AF52" s="102">
        <f>Implements7[[#This Row],[PriceL]]*(VLOOKUP(Implements7[[#This Row],[ASABEtype]],ASABECoefficients[],2)*(Implements7[[#This Row],[Life (yr)]]*Implements7[[#This Row],[Use (hr/yr)]]/1000)^VLOOKUP(Implements7[[#This Row],[ASABEtype]],ASABECoefficients[],3))/Implements7[[#This Row],[Life (yr)]]/Implements7[[#This Row],[Use (ac/yr)]]</f>
        <v>2.0152266492839703</v>
      </c>
      <c r="AG52" s="61">
        <f>$BR$18/(Implements7[[#This Row],[Width]]*Implements7[[#This Row],[Speed]]*Implements7[[#This Row],[Efficiency]])</f>
        <v>9.4285714285714292E-2</v>
      </c>
      <c r="AH52" s="86">
        <f>SUM(Implements7[[#This Row],[Depr ($/ac)]:[OH (interest, insurance, taxes, housing) ($/ac)]])</f>
        <v>8.8993672299694779</v>
      </c>
      <c r="AI52" s="87">
        <v>20</v>
      </c>
      <c r="AJ52" s="59" t="s">
        <v>731</v>
      </c>
      <c r="AK52" s="86"/>
    </row>
    <row r="53" spans="2:67" ht="16.5">
      <c r="B53" s="31"/>
      <c r="C53" s="282" t="s">
        <v>424</v>
      </c>
      <c r="D53" s="125">
        <f>SUM(D49:D52)</f>
        <v>1.8030016806722688</v>
      </c>
      <c r="E53" s="125">
        <f>SUM(E49:E52)</f>
        <v>0.30901680672268911</v>
      </c>
      <c r="F53" s="125">
        <f>SUM(F49:F52)</f>
        <v>27.035355584211342</v>
      </c>
      <c r="G53" s="125">
        <f>SUM(G49:G52)</f>
        <v>35.193525142925033</v>
      </c>
      <c r="H53" s="125"/>
      <c r="I53" s="125">
        <f>SUM(I49:I52)</f>
        <v>62.228880727136378</v>
      </c>
      <c r="K53" s="59" t="str">
        <f>Implements7[[#This Row],[Implement type]]&amp;", "&amp;Implements7[[#This Row],[Width]]&amp;" "&amp;Implements7[[#This Row],[Width Unit]]</f>
        <v>Presswheel drill, 30 Ft Folding</v>
      </c>
      <c r="L53" s="105" t="s">
        <v>784</v>
      </c>
      <c r="M53" s="76">
        <v>30</v>
      </c>
      <c r="N53" s="75" t="str">
        <f t="shared" si="17"/>
        <v>Ft Folding</v>
      </c>
      <c r="O53" s="76"/>
      <c r="P53" s="76"/>
      <c r="Q53" s="77">
        <v>85000</v>
      </c>
      <c r="R53" s="78">
        <v>0.1</v>
      </c>
      <c r="S53" s="79">
        <f t="shared" si="13"/>
        <v>94444.444444444438</v>
      </c>
      <c r="T53" s="76">
        <v>12</v>
      </c>
      <c r="U53" s="76">
        <v>80</v>
      </c>
      <c r="V53" s="80">
        <f t="shared" si="14"/>
        <v>1018.1818181818181</v>
      </c>
      <c r="W53" s="76" t="s">
        <v>575</v>
      </c>
      <c r="X53" s="76">
        <v>5</v>
      </c>
      <c r="Y53" s="78">
        <v>0.7</v>
      </c>
      <c r="Z53" s="78">
        <v>1.1100000000000001</v>
      </c>
      <c r="AA53" s="76">
        <v>240</v>
      </c>
      <c r="AB53" s="99">
        <f>(VLOOKUP(Implements7[[#This Row],[ASABEtype]],ASABECoefficients[],5)-VLOOKUP(Implements7[[#This Row],[ASABEtype]],ASABECoefficients[],6)*Implements7[[#This Row],[Life (yr)]]^0.5-VLOOKUP(Implements7[[#This Row],[ASABEtype]],ASABECoefficients[],7)*Implements7[[#This Row],[Use (hr/yr)]]^0.5+VLOOKUP(Implements7[[#This Row],[ASABEtype]],ASABECoefficients[],8)*$BR$17)^2+0.25*VLOOKUP(Implements7[[#This Row],[ASABEtype]],ASABECoefficients[],9)</f>
        <v>0.23573589577499662</v>
      </c>
      <c r="AC53" s="100">
        <f>Implements7[[#This Row],[TradeIn%]]*Implements7[[#This Row],[PriceL]]</f>
        <v>22263.945712083012</v>
      </c>
      <c r="AD53" s="101">
        <f>(Implements7[[#This Row],[PriceP]]-Implements7[[#This Row],[TradeIn$]])/Implements7[[#This Row],[Life (yr)]]/Implements7[[#This Row],[Use (ac/yr)]]</f>
        <v>5.1346473003503492</v>
      </c>
      <c r="AE53" s="84">
        <f>((Implements7[[#This Row],[PriceP]]+Implements7[[#This Row],[TradeIn$]])/2*($BR$7+$BR$8+$BR$9)+Implements7[[#This Row],[Shed (ft^2)]]*$BR$12)/Implements7[[#This Row],[Use (ac/yr)]]</f>
        <v>3.5732742055982851</v>
      </c>
      <c r="AF53" s="102">
        <f>Implements7[[#This Row],[PriceL]]*(VLOOKUP(Implements7[[#This Row],[ASABEtype]],ASABECoefficients[],2)*(Implements7[[#This Row],[Life (yr)]]*Implements7[[#This Row],[Use (hr/yr)]]/1000)^VLOOKUP(Implements7[[#This Row],[ASABEtype]],ASABECoefficients[],3))/Implements7[[#This Row],[Life (yr)]]/Implements7[[#This Row],[Use (ac/yr)]]</f>
        <v>2.2703321563598999</v>
      </c>
      <c r="AG53" s="61">
        <f>$BR$18/(Implements7[[#This Row],[Width]]*Implements7[[#This Row],[Speed]]*Implements7[[#This Row],[Efficiency]])</f>
        <v>7.857142857142857E-2</v>
      </c>
      <c r="AH53" s="86">
        <f>SUM(Implements7[[#This Row],[Depr ($/ac)]:[OH (interest, insurance, taxes, housing) ($/ac)]])</f>
        <v>8.7079215059486348</v>
      </c>
      <c r="AI53" s="87">
        <v>21</v>
      </c>
      <c r="AJ53" s="59" t="s">
        <v>731</v>
      </c>
      <c r="AK53" s="86"/>
    </row>
    <row r="54" spans="2:67">
      <c r="K54" s="59" t="str">
        <f>Implements7[[#This Row],[Implement type]]&amp;", "&amp;Implements7[[#This Row],[Width]]&amp;" "&amp;Implements7[[#This Row],[Width Unit]]</f>
        <v>Row crop planter, 15 Ft</v>
      </c>
      <c r="L54" s="75" t="s">
        <v>568</v>
      </c>
      <c r="M54" s="76">
        <v>15</v>
      </c>
      <c r="N54" s="75" t="str">
        <f t="shared" si="17"/>
        <v>Ft</v>
      </c>
      <c r="O54" s="76">
        <v>6</v>
      </c>
      <c r="P54" s="76" t="s">
        <v>569</v>
      </c>
      <c r="Q54" s="77">
        <v>48000</v>
      </c>
      <c r="R54" s="78">
        <v>0.1</v>
      </c>
      <c r="S54" s="79">
        <f t="shared" si="13"/>
        <v>53333.333333333328</v>
      </c>
      <c r="T54" s="76">
        <v>12</v>
      </c>
      <c r="U54" s="76">
        <v>70</v>
      </c>
      <c r="V54" s="80">
        <f t="shared" si="14"/>
        <v>489.99999999999994</v>
      </c>
      <c r="W54" s="76" t="s">
        <v>568</v>
      </c>
      <c r="X54" s="76">
        <v>5.5</v>
      </c>
      <c r="Y54" s="78">
        <v>0.7</v>
      </c>
      <c r="Z54" s="78">
        <v>1.1599999999999999</v>
      </c>
      <c r="AA54" s="76">
        <v>200</v>
      </c>
      <c r="AB54" s="99">
        <f>(VLOOKUP(Implements7[[#This Row],[ASABEtype]],ASABECoefficients[],5)-VLOOKUP(Implements7[[#This Row],[ASABEtype]],ASABECoefficients[],6)*Implements7[[#This Row],[Life (yr)]]^0.5-VLOOKUP(Implements7[[#This Row],[ASABEtype]],ASABECoefficients[],7)*Implements7[[#This Row],[Use (hr/yr)]]^0.5+VLOOKUP(Implements7[[#This Row],[ASABEtype]],ASABECoefficients[],8)*$BR$17)^2+0.25*VLOOKUP(Implements7[[#This Row],[ASABEtype]],ASABECoefficients[],9)</f>
        <v>0.47064228743824527</v>
      </c>
      <c r="AC54" s="100">
        <f>Implements7[[#This Row],[TradeIn%]]*Implements7[[#This Row],[PriceL]]</f>
        <v>25100.921996706413</v>
      </c>
      <c r="AD54" s="101">
        <f>(Implements7[[#This Row],[PriceP]]-Implements7[[#This Row],[TradeIn$]])/Implements7[[#This Row],[Life (yr)]]/Implements7[[#This Row],[Use (ac/yr)]]</f>
        <v>3.8944010209682975</v>
      </c>
      <c r="AE54" s="84">
        <f>((Implements7[[#This Row],[PriceP]]+Implements7[[#This Row],[TradeIn$]])/2*($BR$7+$BR$8+$BR$9)+Implements7[[#This Row],[Shed (ft^2)]]*$BR$12)/Implements7[[#This Row],[Use (ac/yr)]]</f>
        <v>5.1322409510784572</v>
      </c>
      <c r="AF54" s="102">
        <f>Implements7[[#This Row],[PriceL]]*(VLOOKUP(Implements7[[#This Row],[ASABEtype]],ASABECoefficients[],2)*(Implements7[[#This Row],[Life (yr)]]*Implements7[[#This Row],[Use (hr/yr)]]/1000)^VLOOKUP(Implements7[[#This Row],[ASABEtype]],ASABECoefficients[],3))/Implements7[[#This Row],[Life (yr)]]/Implements7[[#This Row],[Use (ac/yr)]]</f>
        <v>2.0126019118615992</v>
      </c>
      <c r="AG54" s="61">
        <f>$BR$18/(Implements7[[#This Row],[Width]]*Implements7[[#This Row],[Speed]]*Implements7[[#This Row],[Efficiency]])</f>
        <v>0.14285714285714288</v>
      </c>
      <c r="AH54" s="86">
        <f>SUM(Implements7[[#This Row],[Depr ($/ac)]:[OH (interest, insurance, taxes, housing) ($/ac)]])</f>
        <v>9.0266419720467539</v>
      </c>
      <c r="AI54" s="87">
        <v>13</v>
      </c>
      <c r="AJ54" s="59" t="s">
        <v>731</v>
      </c>
      <c r="AK54" s="86"/>
    </row>
    <row r="55" spans="2:67">
      <c r="B55" s="317" t="s">
        <v>9</v>
      </c>
      <c r="C55" s="317"/>
      <c r="D55" s="317"/>
      <c r="E55" s="317"/>
      <c r="F55" s="317"/>
      <c r="G55" s="317"/>
      <c r="H55" s="317"/>
      <c r="I55" s="317"/>
      <c r="K55" s="59" t="str">
        <f>Implements7[[#This Row],[Implement type]]&amp;", "&amp;Implements7[[#This Row],[Width]]&amp;" "&amp;Implements7[[#This Row],[Width Unit]]</f>
        <v>Row crop planter, 20 Ft Folding</v>
      </c>
      <c r="L55" s="75" t="s">
        <v>568</v>
      </c>
      <c r="M55" s="76">
        <v>20</v>
      </c>
      <c r="N55" s="75" t="str">
        <f t="shared" si="17"/>
        <v>Ft Folding</v>
      </c>
      <c r="O55" s="76">
        <v>8</v>
      </c>
      <c r="P55" s="76" t="s">
        <v>569</v>
      </c>
      <c r="Q55" s="77">
        <v>59000</v>
      </c>
      <c r="R55" s="78">
        <v>0.1</v>
      </c>
      <c r="S55" s="79">
        <f t="shared" si="13"/>
        <v>65555.555555555547</v>
      </c>
      <c r="T55" s="76">
        <v>12</v>
      </c>
      <c r="U55" s="76">
        <v>70</v>
      </c>
      <c r="V55" s="80">
        <f t="shared" si="14"/>
        <v>653.33333333333337</v>
      </c>
      <c r="W55" s="76" t="s">
        <v>568</v>
      </c>
      <c r="X55" s="76">
        <v>5.5</v>
      </c>
      <c r="Y55" s="78">
        <v>0.7</v>
      </c>
      <c r="Z55" s="78">
        <v>1.1599999999999999</v>
      </c>
      <c r="AA55" s="76">
        <v>200</v>
      </c>
      <c r="AB55" s="99">
        <f>(VLOOKUP(Implements7[[#This Row],[ASABEtype]],ASABECoefficients[],5)-VLOOKUP(Implements7[[#This Row],[ASABEtype]],ASABECoefficients[],6)*Implements7[[#This Row],[Life (yr)]]^0.5-VLOOKUP(Implements7[[#This Row],[ASABEtype]],ASABECoefficients[],7)*Implements7[[#This Row],[Use (hr/yr)]]^0.5+VLOOKUP(Implements7[[#This Row],[ASABEtype]],ASABECoefficients[],8)*$BR$17)^2+0.25*VLOOKUP(Implements7[[#This Row],[ASABEtype]],ASABECoefficients[],9)</f>
        <v>0.47064228743824527</v>
      </c>
      <c r="AC55" s="100">
        <f>Implements7[[#This Row],[TradeIn%]]*Implements7[[#This Row],[PriceL]]</f>
        <v>30853.216620951629</v>
      </c>
      <c r="AD55" s="101">
        <f>(Implements7[[#This Row],[PriceP]]-Implements7[[#This Row],[TradeIn$]])/Implements7[[#This Row],[Life (yr)]]/Implements7[[#This Row],[Use (ac/yr)]]</f>
        <v>3.5901509412051489</v>
      </c>
      <c r="AE55" s="84">
        <f>((Implements7[[#This Row],[PriceP]]+Implements7[[#This Row],[TradeIn$]])/2*($BR$7+$BR$8+$BR$9)+Implements7[[#This Row],[Shed (ft^2)]]*$BR$12)/Implements7[[#This Row],[Use (ac/yr)]]</f>
        <v>4.6632909495125956</v>
      </c>
      <c r="AF55" s="102">
        <f>Implements7[[#This Row],[PriceL]]*(VLOOKUP(Implements7[[#This Row],[ASABEtype]],ASABECoefficients[],2)*(Implements7[[#This Row],[Life (yr)]]*Implements7[[#This Row],[Use (hr/yr)]]/1000)^VLOOKUP(Implements7[[#This Row],[ASABEtype]],ASABECoefficients[],3))/Implements7[[#This Row],[Life (yr)]]/Implements7[[#This Row],[Use (ac/yr)]]</f>
        <v>1.8553673874974115</v>
      </c>
      <c r="AG55" s="61">
        <f>$BR$18/(Implements7[[#This Row],[Width]]*Implements7[[#This Row],[Speed]]*Implements7[[#This Row],[Efficiency]])</f>
        <v>0.10714285714285714</v>
      </c>
      <c r="AH55" s="86">
        <f>SUM(Implements7[[#This Row],[Depr ($/ac)]:[OH (interest, insurance, taxes, housing) ($/ac)]])</f>
        <v>8.2534418907177454</v>
      </c>
      <c r="AI55" s="87">
        <v>14</v>
      </c>
      <c r="AJ55" s="59" t="s">
        <v>731</v>
      </c>
      <c r="AK55" s="86"/>
    </row>
    <row r="56" spans="2:67">
      <c r="B56" s="318" t="s">
        <v>674</v>
      </c>
      <c r="C56" s="320" t="s">
        <v>675</v>
      </c>
      <c r="D56" s="320" t="s">
        <v>676</v>
      </c>
      <c r="E56" s="320" t="s">
        <v>677</v>
      </c>
      <c r="F56" s="278" t="s">
        <v>422</v>
      </c>
      <c r="G56" s="278" t="s">
        <v>423</v>
      </c>
      <c r="H56" s="278"/>
      <c r="I56" s="321" t="s">
        <v>678</v>
      </c>
      <c r="K56" s="59" t="str">
        <f>Implements7[[#This Row],[Implement type]]&amp;", "&amp;Implements7[[#This Row],[Width]]&amp;" "&amp;Implements7[[#This Row],[Width Unit]]</f>
        <v>Row crop planter, 30 Ft Folding</v>
      </c>
      <c r="L56" s="75" t="s">
        <v>568</v>
      </c>
      <c r="M56" s="76">
        <v>30</v>
      </c>
      <c r="N56" s="75" t="str">
        <f t="shared" si="17"/>
        <v>Ft Folding</v>
      </c>
      <c r="O56" s="76">
        <v>12</v>
      </c>
      <c r="P56" s="76" t="s">
        <v>569</v>
      </c>
      <c r="Q56" s="77">
        <v>135000</v>
      </c>
      <c r="R56" s="78">
        <v>0.1</v>
      </c>
      <c r="S56" s="79">
        <f t="shared" si="13"/>
        <v>150000</v>
      </c>
      <c r="T56" s="76">
        <v>12</v>
      </c>
      <c r="U56" s="76">
        <v>70.000000000000014</v>
      </c>
      <c r="V56" s="80">
        <f t="shared" si="14"/>
        <v>980.00000000000011</v>
      </c>
      <c r="W56" s="76" t="s">
        <v>568</v>
      </c>
      <c r="X56" s="76">
        <v>5.5</v>
      </c>
      <c r="Y56" s="78">
        <v>0.7</v>
      </c>
      <c r="Z56" s="78">
        <v>1.1599999999999999</v>
      </c>
      <c r="AA56" s="76">
        <v>300</v>
      </c>
      <c r="AB56" s="99">
        <f>(VLOOKUP(Implements7[[#This Row],[ASABEtype]],ASABECoefficients[],5)-VLOOKUP(Implements7[[#This Row],[ASABEtype]],ASABECoefficients[],6)*Implements7[[#This Row],[Life (yr)]]^0.5-VLOOKUP(Implements7[[#This Row],[ASABEtype]],ASABECoefficients[],7)*Implements7[[#This Row],[Use (hr/yr)]]^0.5+VLOOKUP(Implements7[[#This Row],[ASABEtype]],ASABECoefficients[],8)*$BR$17)^2+0.25*VLOOKUP(Implements7[[#This Row],[ASABEtype]],ASABECoefficients[],9)</f>
        <v>0.47064228743824527</v>
      </c>
      <c r="AC56" s="100">
        <f>Implements7[[#This Row],[TradeIn%]]*Implements7[[#This Row],[PriceL]]</f>
        <v>70596.343115736789</v>
      </c>
      <c r="AD56" s="101">
        <f>(Implements7[[#This Row],[PriceP]]-Implements7[[#This Row],[TradeIn$]])/Implements7[[#This Row],[Life (yr)]]/Implements7[[#This Row],[Use (ac/yr)]]</f>
        <v>5.476501435736667</v>
      </c>
      <c r="AE56" s="84">
        <f>((Implements7[[#This Row],[PriceP]]+Implements7[[#This Row],[TradeIn$]])/2*($BR$7+$BR$8+$BR$9)+Implements7[[#This Row],[Shed (ft^2)]]*$BR$12)/Implements7[[#This Row],[Use (ac/yr)]]</f>
        <v>6.9576016151777189</v>
      </c>
      <c r="AF56" s="102">
        <f>Implements7[[#This Row],[PriceL]]*(VLOOKUP(Implements7[[#This Row],[ASABEtype]],ASABECoefficients[],2)*(Implements7[[#This Row],[Life (yr)]]*Implements7[[#This Row],[Use (hr/yr)]]/1000)^VLOOKUP(Implements7[[#This Row],[ASABEtype]],ASABECoefficients[],3))/Implements7[[#This Row],[Life (yr)]]/Implements7[[#This Row],[Use (ac/yr)]]</f>
        <v>2.830221438555375</v>
      </c>
      <c r="AG56" s="61">
        <f>$BR$18/(Implements7[[#This Row],[Width]]*Implements7[[#This Row],[Speed]]*Implements7[[#This Row],[Efficiency]])</f>
        <v>7.1428571428571438E-2</v>
      </c>
      <c r="AH56" s="86">
        <f>SUM(Implements7[[#This Row],[Depr ($/ac)]:[OH (interest, insurance, taxes, housing) ($/ac)]])</f>
        <v>12.434103050914386</v>
      </c>
      <c r="AI56" s="87">
        <v>15</v>
      </c>
      <c r="AJ56" s="59" t="s">
        <v>731</v>
      </c>
      <c r="AK56" s="86"/>
    </row>
    <row r="57" spans="2:67">
      <c r="B57" s="319"/>
      <c r="C57" s="317"/>
      <c r="D57" s="317"/>
      <c r="E57" s="317"/>
      <c r="F57" s="248" t="s">
        <v>427</v>
      </c>
      <c r="G57" s="248" t="s">
        <v>427</v>
      </c>
      <c r="H57" s="248" t="s">
        <v>698</v>
      </c>
      <c r="I57" s="322"/>
      <c r="K57" s="59" t="str">
        <f>Implements7[[#This Row],[Implement type]]&amp;", "&amp;Implements7[[#This Row],[Width]]&amp;" "&amp;Implements7[[#This Row],[Width Unit]]</f>
        <v>Row crop planter, 40 Ft Folding</v>
      </c>
      <c r="L57" s="75" t="s">
        <v>568</v>
      </c>
      <c r="M57" s="76">
        <v>40</v>
      </c>
      <c r="N57" s="75" t="str">
        <f t="shared" si="17"/>
        <v>Ft Folding</v>
      </c>
      <c r="O57" s="76">
        <v>16</v>
      </c>
      <c r="P57" s="76" t="s">
        <v>569</v>
      </c>
      <c r="Q57" s="77">
        <v>199000</v>
      </c>
      <c r="R57" s="78">
        <v>0.1</v>
      </c>
      <c r="S57" s="79">
        <f t="shared" si="13"/>
        <v>221111.11111111109</v>
      </c>
      <c r="T57" s="76">
        <v>12</v>
      </c>
      <c r="U57" s="76">
        <v>70</v>
      </c>
      <c r="V57" s="80">
        <f t="shared" si="14"/>
        <v>1306.6666666666667</v>
      </c>
      <c r="W57" s="76" t="s">
        <v>568</v>
      </c>
      <c r="X57" s="76">
        <v>5.5</v>
      </c>
      <c r="Y57" s="78">
        <v>0.7</v>
      </c>
      <c r="Z57" s="78">
        <v>1.1599999999999999</v>
      </c>
      <c r="AA57" s="76">
        <v>300</v>
      </c>
      <c r="AB57" s="99">
        <f>(VLOOKUP(Implements7[[#This Row],[ASABEtype]],ASABECoefficients[],5)-VLOOKUP(Implements7[[#This Row],[ASABEtype]],ASABECoefficients[],6)*Implements7[[#This Row],[Life (yr)]]^0.5-VLOOKUP(Implements7[[#This Row],[ASABEtype]],ASABECoefficients[],7)*Implements7[[#This Row],[Use (hr/yr)]]^0.5+VLOOKUP(Implements7[[#This Row],[ASABEtype]],ASABECoefficients[],8)*$BR$17)^2+0.25*VLOOKUP(Implements7[[#This Row],[ASABEtype]],ASABECoefficients[],9)</f>
        <v>0.47064228743824527</v>
      </c>
      <c r="AC57" s="100">
        <f>Implements7[[#This Row],[TradeIn%]]*Implements7[[#This Row],[PriceL]]</f>
        <v>104064.23911134533</v>
      </c>
      <c r="AD57" s="101">
        <f>(Implements7[[#This Row],[PriceP]]-Implements7[[#This Row],[TradeIn$]])/Implements7[[#This Row],[Life (yr)]]/Implements7[[#This Row],[Use (ac/yr)]]</f>
        <v>6.0545765872866495</v>
      </c>
      <c r="AE57" s="84">
        <f>((Implements7[[#This Row],[PriceP]]+Implements7[[#This Row],[TradeIn$]])/2*($BR$7+$BR$8+$BR$9)+Implements7[[#This Row],[Shed (ft^2)]]*$BR$12)/Implements7[[#This Row],[Use (ac/yr)]]</f>
        <v>7.5865218985214824</v>
      </c>
      <c r="AF57" s="102">
        <f>Implements7[[#This Row],[PriceL]]*(VLOOKUP(Implements7[[#This Row],[ASABEtype]],ASABECoefficients[],2)*(Implements7[[#This Row],[Life (yr)]]*Implements7[[#This Row],[Use (hr/yr)]]/1000)^VLOOKUP(Implements7[[#This Row],[ASABEtype]],ASABECoefficients[],3))/Implements7[[#This Row],[Life (yr)]]/Implements7[[#This Row],[Use (ac/yr)]]</f>
        <v>3.1289670348473297</v>
      </c>
      <c r="AG57" s="61">
        <f>$BR$18/(Implements7[[#This Row],[Width]]*Implements7[[#This Row],[Speed]]*Implements7[[#This Row],[Efficiency]])</f>
        <v>5.3571428571428568E-2</v>
      </c>
      <c r="AH57" s="86">
        <f>SUM(Implements7[[#This Row],[Depr ($/ac)]:[OH (interest, insurance, taxes, housing) ($/ac)]])</f>
        <v>13.641098485808133</v>
      </c>
      <c r="AI57" s="87">
        <v>16</v>
      </c>
      <c r="AJ57" s="59" t="s">
        <v>731</v>
      </c>
      <c r="AK57" s="86"/>
    </row>
    <row r="58" spans="2:67" ht="16.5">
      <c r="B58" s="31"/>
      <c r="C58" s="31"/>
      <c r="D58" s="123" t="s">
        <v>744</v>
      </c>
      <c r="E58" s="123" t="s">
        <v>745</v>
      </c>
      <c r="F58" s="123" t="s">
        <v>746</v>
      </c>
      <c r="G58" s="123" t="s">
        <v>746</v>
      </c>
      <c r="H58" s="123" t="s">
        <v>748</v>
      </c>
      <c r="I58" s="123" t="s">
        <v>747</v>
      </c>
      <c r="K58" s="59" t="str">
        <f>Implements7[[#This Row],[Implement type]]&amp;", "&amp;Implements7[[#This Row],[Width]]&amp;" "&amp;Implements7[[#This Row],[Width Unit]]</f>
        <v>Row crop planter, 60 Ft Folding</v>
      </c>
      <c r="L58" s="75" t="s">
        <v>568</v>
      </c>
      <c r="M58" s="76">
        <v>60</v>
      </c>
      <c r="N58" s="75" t="str">
        <f t="shared" si="17"/>
        <v>Ft Folding</v>
      </c>
      <c r="O58" s="76">
        <v>24</v>
      </c>
      <c r="P58" s="76" t="s">
        <v>569</v>
      </c>
      <c r="Q58" s="77">
        <v>321500</v>
      </c>
      <c r="R58" s="78">
        <v>0.1</v>
      </c>
      <c r="S58" s="79">
        <f t="shared" si="13"/>
        <v>357222.22222222219</v>
      </c>
      <c r="T58" s="76">
        <v>12</v>
      </c>
      <c r="U58" s="76">
        <v>70</v>
      </c>
      <c r="V58" s="80">
        <f t="shared" si="14"/>
        <v>1959.9999999999998</v>
      </c>
      <c r="W58" s="76" t="s">
        <v>568</v>
      </c>
      <c r="X58" s="76">
        <v>5.5</v>
      </c>
      <c r="Y58" s="78">
        <v>0.7</v>
      </c>
      <c r="Z58" s="78">
        <v>1.1599999999999999</v>
      </c>
      <c r="AA58" s="76">
        <v>300</v>
      </c>
      <c r="AB58" s="99">
        <f>(VLOOKUP(Implements7[[#This Row],[ASABEtype]],ASABECoefficients[],5)-VLOOKUP(Implements7[[#This Row],[ASABEtype]],ASABECoefficients[],6)*Implements7[[#This Row],[Life (yr)]]^0.5-VLOOKUP(Implements7[[#This Row],[ASABEtype]],ASABECoefficients[],7)*Implements7[[#This Row],[Use (hr/yr)]]^0.5+VLOOKUP(Implements7[[#This Row],[ASABEtype]],ASABECoefficients[],8)*$BR$17)^2+0.25*VLOOKUP(Implements7[[#This Row],[ASABEtype]],ASABECoefficients[],9)</f>
        <v>0.47064228743824527</v>
      </c>
      <c r="AC58" s="100">
        <f>Implements7[[#This Row],[TradeIn%]]*Implements7[[#This Row],[PriceL]]</f>
        <v>168123.88379043981</v>
      </c>
      <c r="AD58" s="101">
        <f>(Implements7[[#This Row],[PriceP]]-Implements7[[#This Row],[TradeIn$]])/Implements7[[#This Row],[Life (yr)]]/Implements7[[#This Row],[Use (ac/yr)]]</f>
        <v>6.5210933762568111</v>
      </c>
      <c r="AE58" s="84">
        <f>((Implements7[[#This Row],[PriceP]]+Implements7[[#This Row],[TradeIn$]])/2*($BR$7+$BR$8+$BR$9)+Implements7[[#This Row],[Shed (ft^2)]]*$BR$12)/Implements7[[#This Row],[Use (ac/yr)]]</f>
        <v>8.0797571424979537</v>
      </c>
      <c r="AF58" s="102">
        <f>Implements7[[#This Row],[PriceL]]*(VLOOKUP(Implements7[[#This Row],[ASABEtype]],ASABECoefficients[],2)*(Implements7[[#This Row],[Life (yr)]]*Implements7[[#This Row],[Use (hr/yr)]]/1000)^VLOOKUP(Implements7[[#This Row],[ASABEtype]],ASABECoefficients[],3))/Implements7[[#This Row],[Life (yr)]]/Implements7[[#This Row],[Use (ac/yr)]]</f>
        <v>3.3700599722057509</v>
      </c>
      <c r="AG58" s="61">
        <f>$BR$18/(Implements7[[#This Row],[Width]]*Implements7[[#This Row],[Speed]]*Implements7[[#This Row],[Efficiency]])</f>
        <v>3.5714285714285719E-2</v>
      </c>
      <c r="AH58" s="86">
        <f>SUM(Implements7[[#This Row],[Depr ($/ac)]:[OH (interest, insurance, taxes, housing) ($/ac)]])</f>
        <v>14.600850518754765</v>
      </c>
      <c r="AI58" s="87">
        <v>17</v>
      </c>
      <c r="AJ58" s="59" t="s">
        <v>731</v>
      </c>
      <c r="AK58" s="86"/>
    </row>
    <row r="59" spans="2:67">
      <c r="B59" s="275" t="s">
        <v>714</v>
      </c>
      <c r="C59" s="275" t="s">
        <v>679</v>
      </c>
      <c r="D59" s="277">
        <f>IF(ISBLANK(C59),"",VLOOKUP(C59,Power1[],17,FALSE)*VLOOKUP(B59,Implements7[],23,FALSE))</f>
        <v>0.89586538461538467</v>
      </c>
      <c r="E59" s="277">
        <f>IF(ISBLANK(B59),"",VLOOKUP(B59,Implements7[],23,FALSE)*VLOOKUP(B59,Implements7[],16,FALSE))</f>
        <v>0.18509615384615383</v>
      </c>
      <c r="F59" s="124">
        <f>IFERROR(IF(ISBLANK(C59),"",D59*$BR$10+E59*$BR$6+VLOOKUP(C59,Power1[],16,FALSE)*VLOOKUP(B59,Implements7[],23,FALSE))+VLOOKUP(B59,Implements7[],22,FALSE),"")</f>
        <v>8.3941105769230759</v>
      </c>
      <c r="G59" s="277">
        <f>IF(ISBLANK(B59),"",VLOOKUP(B59,Implements7[],24,FALSE)+VLOOKUP(C59,Power1[],18,FALSE)*VLOOKUP(B59,Implements7[],23,FALSE))</f>
        <v>6.4328804555822021</v>
      </c>
      <c r="H59" s="283">
        <v>1</v>
      </c>
      <c r="I59" s="124">
        <f>IF(ISBLANK(B59),"",SUM(F59:G59)*H59)</f>
        <v>14.826991032505278</v>
      </c>
      <c r="K59" s="74" t="str">
        <f>Implements7[[#This Row],[Implement type]]&amp;", "&amp;Implements7[[#This Row],[Width]]&amp;" "&amp;Implements7[[#This Row],[Width Unit]]</f>
        <v>Chisel plow, 22 Ft Folding</v>
      </c>
      <c r="L59" s="75" t="s">
        <v>535</v>
      </c>
      <c r="M59" s="76">
        <v>22</v>
      </c>
      <c r="N59" s="75" t="str">
        <f t="shared" si="17"/>
        <v>Ft Folding</v>
      </c>
      <c r="O59" s="76"/>
      <c r="P59" s="76"/>
      <c r="Q59" s="77">
        <v>57500</v>
      </c>
      <c r="R59" s="78">
        <v>0.1</v>
      </c>
      <c r="S59" s="79">
        <f t="shared" si="13"/>
        <v>63888.888888888891</v>
      </c>
      <c r="T59" s="76">
        <v>12</v>
      </c>
      <c r="U59" s="76">
        <v>60</v>
      </c>
      <c r="V59" s="80">
        <f t="shared" si="14"/>
        <v>680</v>
      </c>
      <c r="W59" s="76" t="s">
        <v>535</v>
      </c>
      <c r="X59" s="76">
        <v>5</v>
      </c>
      <c r="Y59" s="78">
        <v>0.85</v>
      </c>
      <c r="Z59" s="78">
        <v>1.02</v>
      </c>
      <c r="AA59" s="76">
        <v>250</v>
      </c>
      <c r="AB59" s="81">
        <f>(VLOOKUP(Implements7[[#This Row],[ASABEtype]],ASABECoefficients[],5)-VLOOKUP(Implements7[[#This Row],[ASABEtype]],ASABECoefficients[],6)*Implements7[[#This Row],[Life (yr)]]^0.5-VLOOKUP(Implements7[[#This Row],[ASABEtype]],ASABECoefficients[],7)*Implements7[[#This Row],[Use (hr/yr)]]^0.5+VLOOKUP(Implements7[[#This Row],[ASABEtype]],ASABECoefficients[],8)*$BR$17)^2+0.25*VLOOKUP(Implements7[[#This Row],[ASABEtype]],ASABECoefficients[],9)</f>
        <v>0.30248724410907551</v>
      </c>
      <c r="AC59" s="82">
        <f>Implements7[[#This Row],[TradeIn%]]*Implements7[[#This Row],[PriceL]]</f>
        <v>19325.573929190938</v>
      </c>
      <c r="AD59" s="83">
        <f>(Implements7[[#This Row],[PriceP]]-Implements7[[#This Row],[TradeIn$]])/Implements7[[#This Row],[Life (yr)]]/Implements7[[#This Row],[Use (ac/yr)]]</f>
        <v>4.6782384890697379</v>
      </c>
      <c r="AE59" s="84">
        <f>((Implements7[[#This Row],[PriceP]]+Implements7[[#This Row],[TradeIn$]])/2*($BR$7+$BR$8+$BR$9)+Implements7[[#This Row],[Shed (ft^2)]]*$BR$12)/Implements7[[#This Row],[Use (ac/yr)]]</f>
        <v>3.9434069309457072</v>
      </c>
      <c r="AF59" s="85">
        <f>Implements7[[#This Row],[PriceL]]*(VLOOKUP(Implements7[[#This Row],[ASABEtype]],ASABECoefficients[],2)*(Implements7[[#This Row],[Life (yr)]]*Implements7[[#This Row],[Use (hr/yr)]]/1000)^VLOOKUP(Implements7[[#This Row],[ASABEtype]],ASABECoefficients[],3))/Implements7[[#This Row],[Life (yr)]]/Implements7[[#This Row],[Use (ac/yr)]]</f>
        <v>1.3840720635948824</v>
      </c>
      <c r="AG59" s="61">
        <f>$BR$18/(Implements7[[#This Row],[Width]]*Implements7[[#This Row],[Speed]]*Implements7[[#This Row],[Efficiency]])</f>
        <v>8.8235294117647065E-2</v>
      </c>
      <c r="AH59" s="86">
        <f>SUM(Implements7[[#This Row],[Depr ($/ac)]:[OH (interest, insurance, taxes, housing) ($/ac)]])</f>
        <v>8.6216454200154455</v>
      </c>
      <c r="AI59" s="87">
        <v>1</v>
      </c>
      <c r="AJ59" s="59" t="s">
        <v>730</v>
      </c>
      <c r="AK59" s="86"/>
      <c r="BB59" s="116"/>
    </row>
    <row r="60" spans="2:67">
      <c r="B60" s="275" t="s">
        <v>693</v>
      </c>
      <c r="C60" s="275" t="s">
        <v>724</v>
      </c>
      <c r="D60" s="277">
        <f>IF(ISBLANK(C60),"",VLOOKUP(C60,Power1[],17,FALSE)*VLOOKUP(B60,Implements7[],23,FALSE))</f>
        <v>0.1559765625</v>
      </c>
      <c r="E60" s="277">
        <f>IF(ISBLANK(B60),"",VLOOKUP(B60,Implements7[],23,FALSE)*VLOOKUP(B60,Implements7[],16,FALSE))</f>
        <v>4.3828125000000002E-2</v>
      </c>
      <c r="F60" s="124">
        <f>IFERROR(IF(ISBLANK(C60),"",D60*$BR$10+E60*$BR$6+VLOOKUP(C60,Power1[],16,FALSE)*VLOOKUP(B60,Implements7[],23,FALSE))+VLOOKUP(B60,Implements7[],22,FALSE),"")</f>
        <v>1.6381674096977312</v>
      </c>
      <c r="G60" s="277">
        <f>IF(ISBLANK(B60),"",VLOOKUP(B60,Implements7[],24,FALSE)+VLOOKUP(C60,Power1[],18,FALSE)*VLOOKUP(B60,Implements7[],23,FALSE))</f>
        <v>1.6794004194562353</v>
      </c>
      <c r="H60" s="283">
        <v>1</v>
      </c>
      <c r="I60" s="124">
        <f t="shared" ref="I60:I62" si="18">IF(ISBLANK(B60),"",SUM(F60:G60)*H60)</f>
        <v>3.3175678291539663</v>
      </c>
      <c r="K60" s="59" t="str">
        <f>Implements7[[#This Row],[Implement type]]&amp;", "&amp;Implements7[[#This Row],[Width]]&amp;" "&amp;Implements7[[#This Row],[Width Unit]]</f>
        <v>Chisel plow, 36 Ft Folding</v>
      </c>
      <c r="L60" s="75" t="s">
        <v>535</v>
      </c>
      <c r="M60" s="76">
        <v>36</v>
      </c>
      <c r="N60" s="75" t="str">
        <f t="shared" si="17"/>
        <v>Ft Folding</v>
      </c>
      <c r="O60" s="76"/>
      <c r="P60" s="76"/>
      <c r="Q60" s="77">
        <v>80500</v>
      </c>
      <c r="R60" s="78">
        <v>0.1</v>
      </c>
      <c r="S60" s="79">
        <f t="shared" si="13"/>
        <v>89444.444444444438</v>
      </c>
      <c r="T60" s="76">
        <v>12</v>
      </c>
      <c r="U60" s="76">
        <v>60</v>
      </c>
      <c r="V60" s="80">
        <f t="shared" si="14"/>
        <v>1112.7272727272727</v>
      </c>
      <c r="W60" s="76" t="s">
        <v>535</v>
      </c>
      <c r="X60" s="76">
        <v>5</v>
      </c>
      <c r="Y60" s="78">
        <v>0.85</v>
      </c>
      <c r="Z60" s="78">
        <v>1.02</v>
      </c>
      <c r="AA60" s="76">
        <v>370</v>
      </c>
      <c r="AB60" s="99">
        <f>(VLOOKUP(Implements7[[#This Row],[ASABEtype]],ASABECoefficients[],5)-VLOOKUP(Implements7[[#This Row],[ASABEtype]],ASABECoefficients[],6)*Implements7[[#This Row],[Life (yr)]]^0.5-VLOOKUP(Implements7[[#This Row],[ASABEtype]],ASABECoefficients[],7)*Implements7[[#This Row],[Use (hr/yr)]]^0.5+VLOOKUP(Implements7[[#This Row],[ASABEtype]],ASABECoefficients[],8)*$BR$17)^2+0.25*VLOOKUP(Implements7[[#This Row],[ASABEtype]],ASABECoefficients[],9)</f>
        <v>0.30248724410907551</v>
      </c>
      <c r="AC60" s="100">
        <f>Implements7[[#This Row],[TradeIn%]]*Implements7[[#This Row],[PriceL]]</f>
        <v>27055.803500867307</v>
      </c>
      <c r="AD60" s="101">
        <f>(Implements7[[#This Row],[PriceP]]-Implements7[[#This Row],[TradeIn$]])/Implements7[[#This Row],[Life (yr)]]/Implements7[[#This Row],[Use (ac/yr)]]</f>
        <v>4.0024929295374427</v>
      </c>
      <c r="AE60" s="84">
        <f>((Implements7[[#This Row],[PriceP]]+Implements7[[#This Row],[TradeIn$]])/2*($BR$7+$BR$8+$BR$9)+Implements7[[#This Row],[Shed (ft^2)]]*$BR$12)/Implements7[[#This Row],[Use (ac/yr)]]</f>
        <v>3.3912243098659935</v>
      </c>
      <c r="AF60" s="102">
        <f>Implements7[[#This Row],[PriceL]]*(VLOOKUP(Implements7[[#This Row],[ASABEtype]],ASABECoefficients[],2)*(Implements7[[#This Row],[Life (yr)]]*Implements7[[#This Row],[Use (hr/yr)]]/1000)^VLOOKUP(Implements7[[#This Row],[ASABEtype]],ASABECoefficients[],3))/Implements7[[#This Row],[Life (yr)]]/Implements7[[#This Row],[Use (ac/yr)]]</f>
        <v>1.1841505432978439</v>
      </c>
      <c r="AG60" s="61">
        <f>$BR$18/(Implements7[[#This Row],[Width]]*Implements7[[#This Row],[Speed]]*Implements7[[#This Row],[Efficiency]])</f>
        <v>5.3921568627450983E-2</v>
      </c>
      <c r="AH60" s="86">
        <f>SUM(Implements7[[#This Row],[Depr ($/ac)]:[OH (interest, insurance, taxes, housing) ($/ac)]])</f>
        <v>7.3937172394034363</v>
      </c>
      <c r="AI60" s="87">
        <v>2</v>
      </c>
      <c r="AJ60" s="59" t="s">
        <v>730</v>
      </c>
    </row>
    <row r="61" spans="2:67">
      <c r="B61" s="275" t="s">
        <v>703</v>
      </c>
      <c r="C61" s="275" t="s">
        <v>679</v>
      </c>
      <c r="D61" s="277">
        <f>IF(ISBLANK(C61),"",VLOOKUP(C61,Power1[],17,FALSE)*VLOOKUP(B61,Implements7[],23,FALSE))</f>
        <v>0.43001538461538469</v>
      </c>
      <c r="E61" s="277">
        <f>IF(ISBLANK(B61),"",VLOOKUP(B61,Implements7[],23,FALSE)*VLOOKUP(B61,Implements7[],16,FALSE))</f>
        <v>9.3923076923076942E-2</v>
      </c>
      <c r="F61" s="124">
        <f>IFERROR(IF(ISBLANK(C61),"",D61*$BR$10+E61*$BR$6+VLOOKUP(C61,Power1[],16,FALSE)*VLOOKUP(B61,Implements7[],23,FALSE))+VLOOKUP(B61,Implements7[],22,FALSE),"")</f>
        <v>12.539465770064556</v>
      </c>
      <c r="G61" s="277">
        <f>IF(ISBLANK(B61),"",VLOOKUP(B61,Implements7[],24,FALSE)+VLOOKUP(C61,Power1[],18,FALSE)*VLOOKUP(B61,Implements7[],23,FALSE))</f>
        <v>6.2576938620903029</v>
      </c>
      <c r="H61" s="283">
        <v>1</v>
      </c>
      <c r="I61" s="124">
        <f t="shared" si="18"/>
        <v>18.797159632154859</v>
      </c>
      <c r="K61" s="59" t="str">
        <f>Implements7[[#This Row],[Implement type]]&amp;", "&amp;Implements7[[#This Row],[Width]]&amp;" "&amp;Implements7[[#This Row],[Width Unit]]</f>
        <v>Chisel plow, 55 Ft Folding</v>
      </c>
      <c r="L61" s="75" t="s">
        <v>535</v>
      </c>
      <c r="M61" s="76">
        <v>55</v>
      </c>
      <c r="N61" s="75" t="str">
        <f t="shared" si="17"/>
        <v>Ft Folding</v>
      </c>
      <c r="O61" s="76"/>
      <c r="P61" s="76"/>
      <c r="Q61" s="77">
        <v>141000</v>
      </c>
      <c r="R61" s="78">
        <v>0.1</v>
      </c>
      <c r="S61" s="79">
        <f t="shared" si="13"/>
        <v>156666.66666666666</v>
      </c>
      <c r="T61" s="76">
        <v>12</v>
      </c>
      <c r="U61" s="76">
        <v>60</v>
      </c>
      <c r="V61" s="80">
        <f t="shared" si="14"/>
        <v>1700</v>
      </c>
      <c r="W61" s="76" t="s">
        <v>535</v>
      </c>
      <c r="X61" s="76">
        <v>5</v>
      </c>
      <c r="Y61" s="78">
        <v>0.85</v>
      </c>
      <c r="Z61" s="78">
        <v>1.02</v>
      </c>
      <c r="AA61" s="76">
        <v>370</v>
      </c>
      <c r="AB61" s="99">
        <f>(VLOOKUP(Implements7[[#This Row],[ASABEtype]],ASABECoefficients[],5)-VLOOKUP(Implements7[[#This Row],[ASABEtype]],ASABECoefficients[],6)*Implements7[[#This Row],[Life (yr)]]^0.5-VLOOKUP(Implements7[[#This Row],[ASABEtype]],ASABECoefficients[],7)*Implements7[[#This Row],[Use (hr/yr)]]^0.5+VLOOKUP(Implements7[[#This Row],[ASABEtype]],ASABECoefficients[],8)*$BR$17)^2+0.25*VLOOKUP(Implements7[[#This Row],[ASABEtype]],ASABECoefficients[],9)</f>
        <v>0.30248724410907551</v>
      </c>
      <c r="AC61" s="100">
        <f>Implements7[[#This Row],[TradeIn%]]*Implements7[[#This Row],[PriceL]]</f>
        <v>47389.668243755164</v>
      </c>
      <c r="AD61" s="101">
        <f>(Implements7[[#This Row],[PriceP]]-Implements7[[#This Row],[TradeIn$]])/Implements7[[#This Row],[Life (yr)]]/Implements7[[#This Row],[Use (ac/yr)]]</f>
        <v>4.5887417527570999</v>
      </c>
      <c r="AE61" s="84">
        <f>((Implements7[[#This Row],[PriceP]]+Implements7[[#This Row],[TradeIn$]])/2*($BR$7+$BR$8+$BR$9)+Implements7[[#This Row],[Shed (ft^2)]]*$BR$12)/Implements7[[#This Row],[Use (ac/yr)]]</f>
        <v>3.7294017547707679</v>
      </c>
      <c r="AF61" s="102">
        <f>Implements7[[#This Row],[PriceL]]*(VLOOKUP(Implements7[[#This Row],[ASABEtype]],ASABECoefficients[],2)*(Implements7[[#This Row],[Life (yr)]]*Implements7[[#This Row],[Use (hr/yr)]]/1000)^VLOOKUP(Implements7[[#This Row],[ASABEtype]],ASABECoefficients[],3))/Implements7[[#This Row],[Life (yr)]]/Implements7[[#This Row],[Use (ac/yr)]]</f>
        <v>1.3575941632478499</v>
      </c>
      <c r="AG61" s="61">
        <f>$BR$18/(Implements7[[#This Row],[Width]]*Implements7[[#This Row],[Speed]]*Implements7[[#This Row],[Efficiency]])</f>
        <v>3.5294117647058823E-2</v>
      </c>
      <c r="AH61" s="86">
        <f>SUM(Implements7[[#This Row],[Depr ($/ac)]:[OH (interest, insurance, taxes, housing) ($/ac)]])</f>
        <v>8.3181435075278678</v>
      </c>
      <c r="AI61" s="87">
        <v>3</v>
      </c>
      <c r="AJ61" s="59" t="s">
        <v>730</v>
      </c>
    </row>
    <row r="62" spans="2:67">
      <c r="B62" s="275"/>
      <c r="C62" s="275"/>
      <c r="D62" s="277" t="str">
        <f>IF(ISBLANK(C62),"",VLOOKUP(C62,Power1[],17,FALSE)*VLOOKUP(B62,Implements7[],23,FALSE))</f>
        <v/>
      </c>
      <c r="E62" s="277" t="str">
        <f>IF(ISBLANK(B62),"",VLOOKUP(B62,Implements7[],23,FALSE)*VLOOKUP(B62,Implements7[],16,FALSE))</f>
        <v/>
      </c>
      <c r="F62" s="124" t="str">
        <f>IFERROR(IF(ISBLANK(C62),"",D62*$BR$10+E62*$BR$6+VLOOKUP(C62,Power1[],16,FALSE)*VLOOKUP(B62,Implements7[],23,FALSE))+VLOOKUP(B62,Implements7[],22,FALSE),"")</f>
        <v/>
      </c>
      <c r="G62" s="277" t="str">
        <f>IF(ISBLANK(B62),"",VLOOKUP(B62,Implements7[],24,FALSE)+VLOOKUP(C62,Power1[],18,FALSE)*VLOOKUP(B62,Implements7[],23,FALSE))</f>
        <v/>
      </c>
      <c r="H62" s="283"/>
      <c r="I62" s="124" t="str">
        <f t="shared" si="18"/>
        <v/>
      </c>
      <c r="K62" s="59" t="str">
        <f>Implements7[[#This Row],[Implement type]]&amp;", "&amp;Implements7[[#This Row],[Width]]&amp;" "&amp;Implements7[[#This Row],[Width Unit]]</f>
        <v>Chisel plow, front dsk , 16 Ft Folding</v>
      </c>
      <c r="L62" s="105" t="s">
        <v>544</v>
      </c>
      <c r="M62" s="76">
        <v>16</v>
      </c>
      <c r="N62" s="75" t="str">
        <f t="shared" si="17"/>
        <v>Ft Folding</v>
      </c>
      <c r="O62" s="76"/>
      <c r="P62" s="76"/>
      <c r="Q62" s="77">
        <v>37500</v>
      </c>
      <c r="R62" s="78">
        <v>0.1</v>
      </c>
      <c r="S62" s="79">
        <f t="shared" si="13"/>
        <v>41666.666666666664</v>
      </c>
      <c r="T62" s="76">
        <v>12</v>
      </c>
      <c r="U62" s="76">
        <v>80</v>
      </c>
      <c r="V62" s="80">
        <f t="shared" si="14"/>
        <v>659.39393939393938</v>
      </c>
      <c r="W62" s="76" t="s">
        <v>545</v>
      </c>
      <c r="X62" s="76">
        <v>5</v>
      </c>
      <c r="Y62" s="78">
        <v>0.85</v>
      </c>
      <c r="Z62" s="78">
        <v>1.02</v>
      </c>
      <c r="AA62" s="76">
        <v>225</v>
      </c>
      <c r="AB62" s="99">
        <f>(VLOOKUP(Implements7[[#This Row],[ASABEtype]],ASABECoefficients[],5)-VLOOKUP(Implements7[[#This Row],[ASABEtype]],ASABECoefficients[],6)*Implements7[[#This Row],[Life (yr)]]^0.5-VLOOKUP(Implements7[[#This Row],[ASABEtype]],ASABECoefficients[],7)*Implements7[[#This Row],[Use (hr/yr)]]^0.5+VLOOKUP(Implements7[[#This Row],[ASABEtype]],ASABECoefficients[],8)*$BR$17)^2+0.25*VLOOKUP(Implements7[[#This Row],[ASABEtype]],ASABECoefficients[],9)</f>
        <v>0.34143443659524941</v>
      </c>
      <c r="AC62" s="100">
        <f>Implements7[[#This Row],[TradeIn%]]*Implements7[[#This Row],[PriceL]]</f>
        <v>14226.434858135392</v>
      </c>
      <c r="AD62" s="101">
        <f>(Implements7[[#This Row],[PriceP]]-Implements7[[#This Row],[TradeIn$]])/Implements7[[#This Row],[Life (yr)]]/Implements7[[#This Row],[Use (ac/yr)]]</f>
        <v>2.9412823593808675</v>
      </c>
      <c r="AE62" s="84">
        <f>((Implements7[[#This Row],[PriceP]]+Implements7[[#This Row],[TradeIn$]])/2*($BR$7+$BR$8+$BR$9)+Implements7[[#This Row],[Shed (ft^2)]]*$BR$12)/Implements7[[#This Row],[Use (ac/yr)]]</f>
        <v>2.8213613476154431</v>
      </c>
      <c r="AF62" s="102">
        <f>Implements7[[#This Row],[PriceL]]*(VLOOKUP(Implements7[[#This Row],[ASABEtype]],ASABECoefficients[],2)*(Implements7[[#This Row],[Life (yr)]]*Implements7[[#This Row],[Use (hr/yr)]]/1000)^VLOOKUP(Implements7[[#This Row],[ASABEtype]],ASABECoefficients[],3))/Implements7[[#This Row],[Life (yr)]]/Implements7[[#This Row],[Use (ac/yr)]]</f>
        <v>0.88429294945912251</v>
      </c>
      <c r="AG62" s="61">
        <f>$BR$18/(Implements7[[#This Row],[Width]]*Implements7[[#This Row],[Speed]]*Implements7[[#This Row],[Efficiency]])</f>
        <v>0.12132352941176471</v>
      </c>
      <c r="AH62" s="86">
        <f>SUM(Implements7[[#This Row],[Depr ($/ac)]:[OH (interest, insurance, taxes, housing) ($/ac)]])</f>
        <v>5.762643706996311</v>
      </c>
      <c r="AI62" s="87">
        <v>4</v>
      </c>
      <c r="AJ62" s="59" t="s">
        <v>730</v>
      </c>
    </row>
    <row r="63" spans="2:67">
      <c r="B63" s="279" t="s">
        <v>403</v>
      </c>
      <c r="C63" s="279"/>
      <c r="D63" s="280"/>
      <c r="E63" s="280"/>
      <c r="F63" s="284">
        <v>7</v>
      </c>
      <c r="G63" s="284">
        <v>7</v>
      </c>
      <c r="H63" s="280"/>
      <c r="I63" s="281">
        <f>SUM(F63+G63)</f>
        <v>14</v>
      </c>
      <c r="K63" s="59" t="str">
        <f>Implements7[[#This Row],[Implement type]]&amp;", "&amp;Implements7[[#This Row],[Width]]&amp;" "&amp;Implements7[[#This Row],[Width Unit]]</f>
        <v>Chisel plow, front dsk , 21 Ft Folding</v>
      </c>
      <c r="L63" s="105" t="s">
        <v>544</v>
      </c>
      <c r="M63" s="76">
        <v>21</v>
      </c>
      <c r="N63" s="75" t="str">
        <f t="shared" si="17"/>
        <v>Ft Folding</v>
      </c>
      <c r="O63" s="76"/>
      <c r="P63" s="76"/>
      <c r="Q63" s="77">
        <v>59000</v>
      </c>
      <c r="R63" s="78">
        <v>0.1</v>
      </c>
      <c r="S63" s="79">
        <f t="shared" si="13"/>
        <v>65555.555555555547</v>
      </c>
      <c r="T63" s="76">
        <v>12</v>
      </c>
      <c r="U63" s="76">
        <v>80</v>
      </c>
      <c r="V63" s="80">
        <f t="shared" si="14"/>
        <v>865.4545454545455</v>
      </c>
      <c r="W63" s="76" t="s">
        <v>545</v>
      </c>
      <c r="X63" s="76">
        <v>5</v>
      </c>
      <c r="Y63" s="78">
        <v>0.85</v>
      </c>
      <c r="Z63" s="78">
        <v>1.02</v>
      </c>
      <c r="AA63" s="76">
        <v>225</v>
      </c>
      <c r="AB63" s="99">
        <f>(VLOOKUP(Implements7[[#This Row],[ASABEtype]],ASABECoefficients[],5)-VLOOKUP(Implements7[[#This Row],[ASABEtype]],ASABECoefficients[],6)*Implements7[[#This Row],[Life (yr)]]^0.5-VLOOKUP(Implements7[[#This Row],[ASABEtype]],ASABECoefficients[],7)*Implements7[[#This Row],[Use (hr/yr)]]^0.5+VLOOKUP(Implements7[[#This Row],[ASABEtype]],ASABECoefficients[],8)*$BR$17)^2+0.25*VLOOKUP(Implements7[[#This Row],[ASABEtype]],ASABECoefficients[],9)</f>
        <v>0.34143443659524941</v>
      </c>
      <c r="AC63" s="100">
        <f>Implements7[[#This Row],[TradeIn%]]*Implements7[[#This Row],[PriceL]]</f>
        <v>22382.924176799683</v>
      </c>
      <c r="AD63" s="101">
        <f>(Implements7[[#This Row],[PriceP]]-Implements7[[#This Row],[TradeIn$]])/Implements7[[#This Row],[Life (yr)]]/Implements7[[#This Row],[Use (ac/yr)]]</f>
        <v>3.5258038695308422</v>
      </c>
      <c r="AE63" s="84">
        <f>((Implements7[[#This Row],[PriceP]]+Implements7[[#This Row],[TradeIn$]])/2*($BR$7+$BR$8+$BR$9)+Implements7[[#This Row],[Shed (ft^2)]]*$BR$12)/Implements7[[#This Row],[Use (ac/yr)]]</f>
        <v>3.2375843700189968</v>
      </c>
      <c r="AF63" s="102">
        <f>Implements7[[#This Row],[PriceL]]*(VLOOKUP(Implements7[[#This Row],[ASABEtype]],ASABECoefficients[],2)*(Implements7[[#This Row],[Life (yr)]]*Implements7[[#This Row],[Use (hr/yr)]]/1000)^VLOOKUP(Implements7[[#This Row],[ASABEtype]],ASABECoefficients[],3))/Implements7[[#This Row],[Life (yr)]]/Implements7[[#This Row],[Use (ac/yr)]]</f>
        <v>1.060028627669094</v>
      </c>
      <c r="AG63" s="61">
        <f>$BR$18/(Implements7[[#This Row],[Width]]*Implements7[[#This Row],[Speed]]*Implements7[[#This Row],[Efficiency]])</f>
        <v>9.2436974789915971E-2</v>
      </c>
      <c r="AH63" s="86">
        <f>SUM(Implements7[[#This Row],[Depr ($/ac)]:[OH (interest, insurance, taxes, housing) ($/ac)]])</f>
        <v>6.7633882395498386</v>
      </c>
      <c r="AI63" s="87">
        <v>5</v>
      </c>
      <c r="AJ63" s="59" t="s">
        <v>730</v>
      </c>
    </row>
    <row r="64" spans="2:67" ht="16.5">
      <c r="B64" s="31"/>
      <c r="C64" s="282" t="s">
        <v>424</v>
      </c>
      <c r="D64" s="125">
        <f t="shared" ref="D64:G64" si="19">SUM(D59:D63)</f>
        <v>1.4818573317307693</v>
      </c>
      <c r="E64" s="125">
        <f t="shared" si="19"/>
        <v>0.32284735576923074</v>
      </c>
      <c r="F64" s="125">
        <f t="shared" si="19"/>
        <v>29.571743756685365</v>
      </c>
      <c r="G64" s="125">
        <f t="shared" si="19"/>
        <v>21.369974737128739</v>
      </c>
      <c r="H64" s="125"/>
      <c r="I64" s="125">
        <f>SUM(I59:I63)</f>
        <v>50.941718493814108</v>
      </c>
      <c r="K64" s="59" t="str">
        <f>Implements7[[#This Row],[Implement type]]&amp;", "&amp;Implements7[[#This Row],[Width]]&amp;" "&amp;Implements7[[#This Row],[Width Unit]]</f>
        <v>Moldboard plow, 12 Ft</v>
      </c>
      <c r="L64" s="75" t="s">
        <v>551</v>
      </c>
      <c r="M64" s="76">
        <v>12</v>
      </c>
      <c r="N64" s="75" t="str">
        <f t="shared" si="17"/>
        <v>Ft</v>
      </c>
      <c r="O64" s="76">
        <v>8</v>
      </c>
      <c r="P64" s="105" t="s">
        <v>552</v>
      </c>
      <c r="Q64" s="77">
        <v>59500</v>
      </c>
      <c r="R64" s="78">
        <v>0.1</v>
      </c>
      <c r="S64" s="79">
        <v>27777.777777777777</v>
      </c>
      <c r="T64" s="76">
        <v>12</v>
      </c>
      <c r="U64" s="76">
        <v>120</v>
      </c>
      <c r="V64" s="80">
        <v>667.63636363636363</v>
      </c>
      <c r="W64" s="76" t="s">
        <v>551</v>
      </c>
      <c r="X64" s="76">
        <v>4.5</v>
      </c>
      <c r="Y64" s="78">
        <v>0.85</v>
      </c>
      <c r="Z64" s="78">
        <v>1.02</v>
      </c>
      <c r="AA64" s="76">
        <v>150</v>
      </c>
      <c r="AB64" s="99">
        <f>(VLOOKUP(Implements7[[#This Row],[ASABEtype]],ASABECoefficients[],5)-VLOOKUP(Implements7[[#This Row],[ASABEtype]],ASABECoefficients[],6)*Implements7[[#This Row],[Life (yr)]]^0.5-VLOOKUP(Implements7[[#This Row],[ASABEtype]],ASABECoefficients[],7)*Implements7[[#This Row],[Use (hr/yr)]]^0.5+VLOOKUP(Implements7[[#This Row],[ASABEtype]],ASABECoefficients[],8)*$BR$17)^2+0.25*VLOOKUP(Implements7[[#This Row],[ASABEtype]],ASABECoefficients[],9)</f>
        <v>0.43541084589966828</v>
      </c>
      <c r="AC64" s="100">
        <f>Implements7[[#This Row],[TradeIn%]]*Implements7[[#This Row],[PriceL]]</f>
        <v>12094.74571943523</v>
      </c>
      <c r="AD64" s="101">
        <f>(Implements7[[#This Row],[PriceP]]-Implements7[[#This Row],[TradeIn$]])/Implements7[[#This Row],[Life (yr)]]/Implements7[[#This Row],[Use (ac/yr)]]</f>
        <v>5.9170501666463826</v>
      </c>
      <c r="AE64" s="84">
        <f>((Implements7[[#This Row],[PriceP]]+Implements7[[#This Row],[TradeIn$]])/2*($BR$7+$BR$8+$BR$9)+Implements7[[#This Row],[Shed (ft^2)]]*$BR$12)/Implements7[[#This Row],[Use (ac/yr)]]</f>
        <v>3.622504933515132</v>
      </c>
      <c r="AF64" s="102">
        <f>Implements7[[#This Row],[PriceL]]*(VLOOKUP(Implements7[[#This Row],[ASABEtype]],ASABECoefficients[],2)*(Implements7[[#This Row],[Life (yr)]]*Implements7[[#This Row],[Use (hr/yr)]]/1000)^VLOOKUP(Implements7[[#This Row],[ASABEtype]],ASABECoefficients[],3))/Implements7[[#This Row],[Life (yr)]]/Implements7[[#This Row],[Use (ac/yr)]]</f>
        <v>3.5947712418300651E-2</v>
      </c>
      <c r="AG64" s="61">
        <f>$BR$18/(Implements7[[#This Row],[Width]]*Implements7[[#This Row],[Speed]]*Implements7[[#This Row],[Efficiency]])</f>
        <v>0.17973856209150327</v>
      </c>
      <c r="AH64" s="86">
        <f>SUM(Implements7[[#This Row],[Depr ($/ac)]:[OH (interest, insurance, taxes, housing) ($/ac)]])</f>
        <v>9.5395551001615146</v>
      </c>
      <c r="AI64" s="87">
        <v>7</v>
      </c>
      <c r="AJ64" s="59" t="s">
        <v>730</v>
      </c>
    </row>
    <row r="65" spans="2:36">
      <c r="K65" s="59" t="str">
        <f>Implements7[[#This Row],[Implement type]]&amp;", "&amp;Implements7[[#This Row],[Width]]&amp;" "&amp;Implements7[[#This Row],[Width Unit]]</f>
        <v>Moldboard plow, 9 Ft</v>
      </c>
      <c r="L65" s="75" t="s">
        <v>551</v>
      </c>
      <c r="M65" s="76">
        <v>9</v>
      </c>
      <c r="N65" s="75" t="str">
        <f t="shared" si="17"/>
        <v>Ft</v>
      </c>
      <c r="O65" s="76">
        <v>6</v>
      </c>
      <c r="P65" s="105" t="s">
        <v>552</v>
      </c>
      <c r="Q65" s="77">
        <v>33000</v>
      </c>
      <c r="R65" s="78">
        <v>0.1</v>
      </c>
      <c r="S65" s="79">
        <f>Q65/(1-R65)</f>
        <v>36666.666666666664</v>
      </c>
      <c r="T65" s="76">
        <v>12</v>
      </c>
      <c r="U65" s="76">
        <v>120</v>
      </c>
      <c r="V65" s="80">
        <f>IF(AND(X65&lt;&gt;0,Y65&lt;&gt;0),U65*(M65*X65*Y65)/8.25,U65*M65)</f>
        <v>500.72727272727275</v>
      </c>
      <c r="W65" s="76" t="s">
        <v>551</v>
      </c>
      <c r="X65" s="76">
        <v>4.5</v>
      </c>
      <c r="Y65" s="78">
        <v>0.85</v>
      </c>
      <c r="Z65" s="78">
        <v>1.02</v>
      </c>
      <c r="AA65" s="76">
        <v>132</v>
      </c>
      <c r="AB65" s="99">
        <f>(VLOOKUP(Implements7[[#This Row],[ASABEtype]],ASABECoefficients[],5)-VLOOKUP(Implements7[[#This Row],[ASABEtype]],ASABECoefficients[],6)*Implements7[[#This Row],[Life (yr)]]^0.5-VLOOKUP(Implements7[[#This Row],[ASABEtype]],ASABECoefficients[],7)*Implements7[[#This Row],[Use (hr/yr)]]^0.5+VLOOKUP(Implements7[[#This Row],[ASABEtype]],ASABECoefficients[],8)*$BR$17)^2+0.25*VLOOKUP(Implements7[[#This Row],[ASABEtype]],ASABECoefficients[],9)</f>
        <v>0.43541084589966828</v>
      </c>
      <c r="AC65" s="100">
        <f>Implements7[[#This Row],[TradeIn%]]*Implements7[[#This Row],[PriceL]]</f>
        <v>15965.064349654502</v>
      </c>
      <c r="AD65" s="101">
        <f>(Implements7[[#This Row],[PriceP]]-Implements7[[#This Row],[TradeIn$]])/Implements7[[#This Row],[Life (yr)]]/Implements7[[#This Row],[Use (ac/yr)]]</f>
        <v>2.8350322584392469</v>
      </c>
      <c r="AE65" s="84">
        <f>((Implements7[[#This Row],[PriceP]]+Implements7[[#This Row],[TradeIn$]])/2*($BR$7+$BR$8+$BR$9)+Implements7[[#This Row],[Shed (ft^2)]]*$BR$12)/Implements7[[#This Row],[Use (ac/yr)]]</f>
        <v>3.36026773032544</v>
      </c>
      <c r="AF65" s="102">
        <f>Implements7[[#This Row],[PriceL]]*(VLOOKUP(Implements7[[#This Row],[ASABEtype]],ASABECoefficients[],2)*(Implements7[[#This Row],[Life (yr)]]*Implements7[[#This Row],[Use (hr/yr)]]/1000)^VLOOKUP(Implements7[[#This Row],[ASABEtype]],ASABECoefficients[],3))/Implements7[[#This Row],[Life (yr)]]/Implements7[[#This Row],[Use (ac/yr)]]</f>
        <v>6.3267973856209136E-2</v>
      </c>
      <c r="AG65" s="61">
        <f>$BR$18/(Implements7[[#This Row],[Width]]*Implements7[[#This Row],[Speed]]*Implements7[[#This Row],[Efficiency]])</f>
        <v>0.23965141612200438</v>
      </c>
      <c r="AH65" s="86">
        <f>SUM(Implements7[[#This Row],[Depr ($/ac)]:[OH (interest, insurance, taxes, housing) ($/ac)]])</f>
        <v>6.1952999887646865</v>
      </c>
      <c r="AI65" s="87">
        <v>6</v>
      </c>
      <c r="AJ65" s="59" t="s">
        <v>730</v>
      </c>
    </row>
    <row r="66" spans="2:36">
      <c r="B66" s="317" t="s">
        <v>715</v>
      </c>
      <c r="C66" s="317"/>
      <c r="D66" s="317"/>
      <c r="E66" s="317"/>
      <c r="F66" s="317"/>
      <c r="G66" s="317"/>
      <c r="H66" s="317"/>
      <c r="I66" s="317"/>
      <c r="K66" s="59" t="str">
        <f>Implements7[[#This Row],[Implement type]]&amp;", "&amp;Implements7[[#This Row],[Width]]&amp;" "&amp;Implements7[[#This Row],[Width Unit]]</f>
        <v>Boom sprayer - pull-type, 90 Ft Folding</v>
      </c>
      <c r="L66" s="105" t="s">
        <v>593</v>
      </c>
      <c r="M66" s="76">
        <v>90</v>
      </c>
      <c r="N66" s="75" t="str">
        <f t="shared" si="17"/>
        <v>Ft Folding</v>
      </c>
      <c r="O66" s="76"/>
      <c r="P66" s="76"/>
      <c r="Q66" s="77">
        <v>54500</v>
      </c>
      <c r="R66" s="78">
        <v>0.1</v>
      </c>
      <c r="S66" s="79">
        <f>Q66/(1-R66)</f>
        <v>60555.555555555555</v>
      </c>
      <c r="T66" s="76">
        <v>12</v>
      </c>
      <c r="U66" s="76">
        <v>25</v>
      </c>
      <c r="V66" s="80">
        <f>IF(AND(X66&lt;&gt;0,Y66&lt;&gt;0),U66*(M66*X66*Y66)/8.25,U66*M66)</f>
        <v>1152.2727272727273</v>
      </c>
      <c r="W66" s="76" t="s">
        <v>548</v>
      </c>
      <c r="X66" s="76">
        <v>6.5</v>
      </c>
      <c r="Y66" s="78">
        <v>0.65</v>
      </c>
      <c r="Z66" s="78">
        <v>1.25</v>
      </c>
      <c r="AA66" s="76">
        <v>400</v>
      </c>
      <c r="AB66" s="99">
        <f>(VLOOKUP(Implements7[[#This Row],[ASABEtype]],ASABECoefficients[],5)-VLOOKUP(Implements7[[#This Row],[ASABEtype]],ASABECoefficients[],6)*Implements7[[#This Row],[Life (yr)]]^0.5-VLOOKUP(Implements7[[#This Row],[ASABEtype]],ASABECoefficients[],7)*Implements7[[#This Row],[Use (hr/yr)]]^0.5+VLOOKUP(Implements7[[#This Row],[ASABEtype]],ASABECoefficients[],8)*$BR$17)^2+0.25*VLOOKUP(Implements7[[#This Row],[ASABEtype]],ASABECoefficients[],9)</f>
        <v>0.47064228743824527</v>
      </c>
      <c r="AC66" s="100">
        <f>Implements7[[#This Row],[TradeIn%]]*Implements7[[#This Row],[PriceL]]</f>
        <v>28500.005183760408</v>
      </c>
      <c r="AD66" s="101">
        <f>(Implements7[[#This Row],[PriceP]]-Implements7[[#This Row],[TradeIn$]])/Implements7[[#This Row],[Life (yr)]]/Implements7[[#This Row],[Use (ac/yr)]]</f>
        <v>1.8803415054479655</v>
      </c>
      <c r="AE66" s="84">
        <f>((Implements7[[#This Row],[PriceP]]+Implements7[[#This Row],[TradeIn$]])/2*($BR$7+$BR$8+$BR$9)+Implements7[[#This Row],[Shed (ft^2)]]*$BR$12)/Implements7[[#This Row],[Use (ac/yr)]]</f>
        <v>2.6234568243277834</v>
      </c>
      <c r="AF66" s="102">
        <f>Implements7[[#This Row],[PriceL]]*(VLOOKUP(Implements7[[#This Row],[ASABEtype]],ASABECoefficients[],2)*(Implements7[[#This Row],[Life (yr)]]*Implements7[[#This Row],[Use (hr/yr)]]/1000)^VLOOKUP(Implements7[[#This Row],[ASABEtype]],ASABECoefficients[],3))/Implements7[[#This Row],[Life (yr)]]/Implements7[[#This Row],[Use (ac/yr)]]</f>
        <v>0.3753694740068958</v>
      </c>
      <c r="AG66" s="61">
        <f>$BR$18/(Implements7[[#This Row],[Width]]*Implements7[[#This Row],[Speed]]*Implements7[[#This Row],[Efficiency]])</f>
        <v>2.1696252465483234E-2</v>
      </c>
      <c r="AH66" s="86">
        <f>SUM(Implements7[[#This Row],[Depr ($/ac)]:[OH (interest, insurance, taxes, housing) ($/ac)]])</f>
        <v>4.5037983297757487</v>
      </c>
      <c r="AI66" s="87">
        <v>26</v>
      </c>
      <c r="AJ66" s="59" t="s">
        <v>737</v>
      </c>
    </row>
    <row r="67" spans="2:36">
      <c r="B67" s="318" t="s">
        <v>674</v>
      </c>
      <c r="C67" s="320" t="s">
        <v>675</v>
      </c>
      <c r="D67" s="320" t="s">
        <v>676</v>
      </c>
      <c r="E67" s="320" t="s">
        <v>677</v>
      </c>
      <c r="F67" s="278" t="s">
        <v>422</v>
      </c>
      <c r="G67" s="278" t="s">
        <v>423</v>
      </c>
      <c r="H67" s="278"/>
      <c r="I67" s="321" t="s">
        <v>678</v>
      </c>
      <c r="K67" s="59" t="str">
        <f>Implements7[[#This Row],[Implement type]]&amp;", "&amp;Implements7[[#This Row],[Width]]&amp;" "&amp;Implements7[[#This Row],[Width Unit]]</f>
        <v>Boom sprayer - self-propelled, 120 Ft Folding</v>
      </c>
      <c r="L67" s="75" t="s">
        <v>590</v>
      </c>
      <c r="M67" s="76">
        <v>120</v>
      </c>
      <c r="N67" s="75" t="str">
        <f t="shared" si="17"/>
        <v>Ft Folding</v>
      </c>
      <c r="O67" s="76"/>
      <c r="P67" s="76"/>
      <c r="Q67" s="77">
        <v>607500</v>
      </c>
      <c r="R67" s="78">
        <v>0.1</v>
      </c>
      <c r="S67" s="79">
        <f>Q67/(1-R67)</f>
        <v>675000</v>
      </c>
      <c r="T67" s="76">
        <v>12</v>
      </c>
      <c r="U67" s="76">
        <v>100</v>
      </c>
      <c r="V67" s="80">
        <f>IF(AND(X67&lt;&gt;0,Y67&lt;&gt;0),U67*(M67*X67*Y67)/8.25,U67*M67)</f>
        <v>6618.181818181818</v>
      </c>
      <c r="W67" s="76" t="s">
        <v>591</v>
      </c>
      <c r="X67" s="76">
        <v>7</v>
      </c>
      <c r="Y67" s="78">
        <v>0.65</v>
      </c>
      <c r="Z67" s="78">
        <v>1.25</v>
      </c>
      <c r="AA67" s="76">
        <v>200</v>
      </c>
      <c r="AB67" s="99">
        <f>(VLOOKUP(Implements7[[#This Row],[ASABEtype]],ASABECoefficients[],5)-VLOOKUP(Implements7[[#This Row],[ASABEtype]],ASABECoefficients[],6)*Implements7[[#This Row],[Life (yr)]]^0.5-VLOOKUP(Implements7[[#This Row],[ASABEtype]],ASABECoefficients[],7)*Implements7[[#This Row],[Use (hr/yr)]]^0.5+VLOOKUP(Implements7[[#This Row],[ASABEtype]],ASABECoefficients[],8)*$BR$17)^2+0.25*VLOOKUP(Implements7[[#This Row],[ASABEtype]],ASABECoefficients[],9)</f>
        <v>0.29407083603500145</v>
      </c>
      <c r="AC67" s="100">
        <f>Implements7[[#This Row],[TradeIn%]]*Implements7[[#This Row],[PriceL]]</f>
        <v>198497.81432362596</v>
      </c>
      <c r="AD67" s="101">
        <f>(Implements7[[#This Row],[PriceP]]-Implements7[[#This Row],[TradeIn$]])/Implements7[[#This Row],[Life (yr)]]/Implements7[[#This Row],[Use (ac/yr)]]</f>
        <v>5.1499817335624023</v>
      </c>
      <c r="AE67" s="84">
        <f>((Implements7[[#This Row],[PriceP]]+Implements7[[#This Row],[TradeIn$]])/2*($BR$7+$BR$8+$BR$9)+Implements7[[#This Row],[Shed (ft^2)]]*$BR$12)/Implements7[[#This Row],[Use (ac/yr)]]</f>
        <v>3.8959755270809007</v>
      </c>
      <c r="AF67" s="102">
        <f>Implements7[[#This Row],[PriceL]]*(VLOOKUP(Implements7[[#This Row],[ASABEtype]],ASABECoefficients[],2)*(Implements7[[#This Row],[Life (yr)]]*Implements7[[#This Row],[Use (hr/yr)]]/1000)^VLOOKUP(Implements7[[#This Row],[ASABEtype]],ASABECoefficients[],3))/Implements7[[#This Row],[Life (yr)]]/Implements7[[#This Row],[Use (ac/yr)]]</f>
        <v>1.8650329047913965</v>
      </c>
      <c r="AG67" s="61">
        <f>$BR$18/(Implements7[[#This Row],[Width]]*Implements7[[#This Row],[Speed]]*Implements7[[#This Row],[Efficiency]])</f>
        <v>1.510989010989011E-2</v>
      </c>
      <c r="AH67" s="86">
        <f>SUM(Implements7[[#This Row],[Depr ($/ac)]:[OH (interest, insurance, taxes, housing) ($/ac)]])</f>
        <v>9.0459572606433021</v>
      </c>
      <c r="AI67" s="87">
        <v>25</v>
      </c>
      <c r="AJ67" s="59" t="s">
        <v>737</v>
      </c>
    </row>
    <row r="68" spans="2:36">
      <c r="B68" s="319"/>
      <c r="C68" s="317"/>
      <c r="D68" s="317"/>
      <c r="E68" s="317"/>
      <c r="F68" s="248" t="s">
        <v>427</v>
      </c>
      <c r="G68" s="248" t="s">
        <v>427</v>
      </c>
      <c r="H68" s="248" t="s">
        <v>698</v>
      </c>
      <c r="I68" s="322"/>
      <c r="K68" s="59" t="str">
        <f>Implements7[[#This Row],[Implement type]]&amp;", "&amp;Implements7[[#This Row],[Width]]&amp;" "&amp;Implements7[[#This Row],[Width Unit]]</f>
        <v>Row cultivator, 30 Ft Folding</v>
      </c>
      <c r="L68" s="75" t="s">
        <v>587</v>
      </c>
      <c r="M68" s="76">
        <v>30</v>
      </c>
      <c r="N68" s="75" t="str">
        <f t="shared" si="17"/>
        <v>Ft Folding</v>
      </c>
      <c r="O68" s="76">
        <v>12</v>
      </c>
      <c r="P68" s="76" t="s">
        <v>569</v>
      </c>
      <c r="Q68" s="77">
        <v>48000</v>
      </c>
      <c r="R68" s="78">
        <v>0.1</v>
      </c>
      <c r="S68" s="79">
        <f>Q68/(1-R68)</f>
        <v>53333.333333333328</v>
      </c>
      <c r="T68" s="76">
        <v>12</v>
      </c>
      <c r="U68" s="76">
        <v>100</v>
      </c>
      <c r="V68" s="80">
        <f>IF(AND(X68&lt;&gt;0,Y68&lt;&gt;0),U68*(M68*X68*Y68)/8.25,U68*M68)</f>
        <v>1545.4545454545455</v>
      </c>
      <c r="W68" s="76" t="s">
        <v>588</v>
      </c>
      <c r="X68" s="76">
        <v>5</v>
      </c>
      <c r="Y68" s="78">
        <v>0.85</v>
      </c>
      <c r="Z68" s="78">
        <v>1.04</v>
      </c>
      <c r="AA68" s="76">
        <v>140</v>
      </c>
      <c r="AB68" s="99">
        <f>(VLOOKUP(Implements7[[#This Row],[ASABEtype]],ASABECoefficients[],5)-VLOOKUP(Implements7[[#This Row],[ASABEtype]],ASABECoefficients[],6)*Implements7[[#This Row],[Life (yr)]]^0.5-VLOOKUP(Implements7[[#This Row],[ASABEtype]],ASABECoefficients[],7)*Implements7[[#This Row],[Use (hr/yr)]]^0.5+VLOOKUP(Implements7[[#This Row],[ASABEtype]],ASABECoefficients[],8)*$BR$17)^2+0.25*VLOOKUP(Implements7[[#This Row],[ASABEtype]],ASABECoefficients[],9)</f>
        <v>0.30248724410907551</v>
      </c>
      <c r="AC68" s="100">
        <f>Implements7[[#This Row],[TradeIn%]]*Implements7[[#This Row],[PriceL]]</f>
        <v>16132.653019150692</v>
      </c>
      <c r="AD68" s="101">
        <f>(Implements7[[#This Row],[PriceP]]-Implements7[[#This Row],[TradeIn$]])/Implements7[[#This Row],[Life (yr)]]/Implements7[[#This Row],[Use (ac/yr)]]</f>
        <v>1.7183373372026589</v>
      </c>
      <c r="AE68" s="84">
        <f>((Implements7[[#This Row],[PriceP]]+Implements7[[#This Row],[TradeIn$]])/2*($BR$7+$BR$8+$BR$9)+Implements7[[#This Row],[Shed (ft^2)]]*$BR$12)/Implements7[[#This Row],[Use (ac/yr)]]</f>
        <v>1.4053486041301528</v>
      </c>
      <c r="AF68" s="102">
        <f>Implements7[[#This Row],[PriceL]]*(VLOOKUP(Implements7[[#This Row],[ASABEtype]],ASABECoefficients[],2)*(Implements7[[#This Row],[Life (yr)]]*Implements7[[#This Row],[Use (hr/yr)]]/1000)^VLOOKUP(Implements7[[#This Row],[ASABEtype]],ASABECoefficients[],3))/Implements7[[#This Row],[Life (yr)]]/Implements7[[#This Row],[Use (ac/yr)]]</f>
        <v>0.73014465169300014</v>
      </c>
      <c r="AG68" s="61">
        <f>$BR$18/(Implements7[[#This Row],[Width]]*Implements7[[#This Row],[Speed]]*Implements7[[#This Row],[Efficiency]])</f>
        <v>6.4705882352941183E-2</v>
      </c>
      <c r="AH68" s="86">
        <f>SUM(Implements7[[#This Row],[Depr ($/ac)]:[OH (interest, insurance, taxes, housing) ($/ac)]])</f>
        <v>3.1236859413328117</v>
      </c>
      <c r="AI68" s="87">
        <v>24</v>
      </c>
      <c r="AJ68" s="59" t="s">
        <v>737</v>
      </c>
    </row>
    <row r="69" spans="2:36" ht="16.5">
      <c r="B69" s="31"/>
      <c r="C69" s="31"/>
      <c r="D69" s="123" t="s">
        <v>744</v>
      </c>
      <c r="E69" s="123" t="s">
        <v>745</v>
      </c>
      <c r="F69" s="123" t="s">
        <v>746</v>
      </c>
      <c r="G69" s="123" t="s">
        <v>746</v>
      </c>
      <c r="H69" s="123" t="s">
        <v>748</v>
      </c>
      <c r="I69" s="123" t="s">
        <v>747</v>
      </c>
    </row>
    <row r="70" spans="2:36">
      <c r="B70" s="275" t="s">
        <v>714</v>
      </c>
      <c r="C70" s="275" t="s">
        <v>679</v>
      </c>
      <c r="D70" s="277">
        <f>IF(ISBLANK(C70),"",VLOOKUP(C70,Power1[],17,FALSE)*VLOOKUP(B70,Implements7[],23,FALSE))</f>
        <v>0.89586538461538467</v>
      </c>
      <c r="E70" s="277">
        <f>IF(ISBLANK(B70),"",VLOOKUP(B70,Implements7[],23,FALSE)*VLOOKUP(B70,Implements7[],16,FALSE))</f>
        <v>0.18509615384615383</v>
      </c>
      <c r="F70" s="124">
        <f>IFERROR(IF(ISBLANK(C70),"",D70*$BR$10+E70*$BR$6+VLOOKUP(C70,Power1[],16,FALSE)*VLOOKUP(B70,Implements7[],23,FALSE))+VLOOKUP(B70,Implements7[],22,FALSE),"")</f>
        <v>8.3941105769230759</v>
      </c>
      <c r="G70" s="277">
        <f>IF(ISBLANK(B70),"",VLOOKUP(B70,Implements7[],24,FALSE)+VLOOKUP(C70,Power1[],18,FALSE)*VLOOKUP(B70,Implements7[],23,FALSE))</f>
        <v>6.4328804555822021</v>
      </c>
      <c r="H70" s="283">
        <v>1</v>
      </c>
      <c r="I70" s="124">
        <f>IF(ISBLANK(B70),"",SUM(F70:G70)*H70)</f>
        <v>14.826991032505278</v>
      </c>
    </row>
    <row r="71" spans="2:36">
      <c r="B71" s="275" t="s">
        <v>693</v>
      </c>
      <c r="C71" s="275" t="s">
        <v>724</v>
      </c>
      <c r="D71" s="277">
        <f>IF(ISBLANK(C71),"",VLOOKUP(C71,Power1[],17,FALSE)*VLOOKUP(B71,Implements7[],23,FALSE))</f>
        <v>0.1559765625</v>
      </c>
      <c r="E71" s="277">
        <f>IF(ISBLANK(B71),"",VLOOKUP(B71,Implements7[],23,FALSE)*VLOOKUP(B71,Implements7[],16,FALSE))</f>
        <v>4.3828125000000002E-2</v>
      </c>
      <c r="F71" s="124">
        <f>IFERROR(IF(ISBLANK(C71),"",D71*$BR$10+E71*$BR$6+VLOOKUP(C71,Power1[],16,FALSE)*VLOOKUP(B71,Implements7[],23,FALSE))+VLOOKUP(B71,Implements7[],22,FALSE),"")</f>
        <v>1.6381674096977312</v>
      </c>
      <c r="G71" s="277">
        <f>IF(ISBLANK(B71),"",VLOOKUP(B71,Implements7[],24,FALSE)+VLOOKUP(C71,Power1[],18,FALSE)*VLOOKUP(B71,Implements7[],23,FALSE))</f>
        <v>1.6794004194562353</v>
      </c>
      <c r="H71" s="283">
        <v>1</v>
      </c>
      <c r="I71" s="124">
        <f t="shared" ref="I71:I73" si="20">IF(ISBLANK(B71),"",SUM(F71:G71)*H71)</f>
        <v>3.3175678291539663</v>
      </c>
    </row>
    <row r="72" spans="2:36">
      <c r="B72" s="275" t="s">
        <v>703</v>
      </c>
      <c r="C72" s="275" t="s">
        <v>679</v>
      </c>
      <c r="D72" s="277">
        <f>IF(ISBLANK(C72),"",VLOOKUP(C72,Power1[],17,FALSE)*VLOOKUP(B72,Implements7[],23,FALSE))</f>
        <v>0.43001538461538469</v>
      </c>
      <c r="E72" s="277">
        <f>IF(ISBLANK(B72),"",VLOOKUP(B72,Implements7[],23,FALSE)*VLOOKUP(B72,Implements7[],16,FALSE))</f>
        <v>9.3923076923076942E-2</v>
      </c>
      <c r="F72" s="124">
        <f>IFERROR(IF(ISBLANK(C72),"",D72*$BR$10+E72*$BR$6+VLOOKUP(C72,Power1[],16,FALSE)*VLOOKUP(B72,Implements7[],23,FALSE))+VLOOKUP(B72,Implements7[],22,FALSE),"")</f>
        <v>12.539465770064556</v>
      </c>
      <c r="G72" s="277">
        <f>IF(ISBLANK(B72),"",VLOOKUP(B72,Implements7[],24,FALSE)+VLOOKUP(C72,Power1[],18,FALSE)*VLOOKUP(B72,Implements7[],23,FALSE))</f>
        <v>6.2576938620903029</v>
      </c>
      <c r="H72" s="283">
        <v>1</v>
      </c>
      <c r="I72" s="124">
        <f t="shared" si="20"/>
        <v>18.797159632154859</v>
      </c>
    </row>
    <row r="73" spans="2:36">
      <c r="B73" s="275"/>
      <c r="C73" s="275"/>
      <c r="D73" s="277" t="str">
        <f>IF(ISBLANK(C73),"",VLOOKUP(C73,Power1[],17,FALSE)*VLOOKUP(B73,Implements7[],23,FALSE))</f>
        <v/>
      </c>
      <c r="E73" s="277" t="str">
        <f>IF(ISBLANK(B73),"",VLOOKUP(B73,Implements7[],23,FALSE)*VLOOKUP(B73,Implements7[],16,FALSE))</f>
        <v/>
      </c>
      <c r="F73" s="124" t="str">
        <f>IFERROR(IF(ISBLANK(C73),"",D73*$BR$10+E73*$BR$6+VLOOKUP(C73,Power1[],16,FALSE)*VLOOKUP(B73,Implements7[],23,FALSE))+VLOOKUP(B73,Implements7[],22,FALSE),"")</f>
        <v/>
      </c>
      <c r="G73" s="277" t="str">
        <f>IF(ISBLANK(B73),"",VLOOKUP(B73,Implements7[],24,FALSE)+VLOOKUP(C73,Power1[],18,FALSE)*VLOOKUP(B73,Implements7[],23,FALSE))</f>
        <v/>
      </c>
      <c r="H73" s="283"/>
      <c r="I73" s="124" t="str">
        <f t="shared" si="20"/>
        <v/>
      </c>
    </row>
    <row r="74" spans="2:36">
      <c r="B74" s="279" t="s">
        <v>403</v>
      </c>
      <c r="C74" s="279"/>
      <c r="D74" s="280"/>
      <c r="E74" s="280"/>
      <c r="F74" s="284">
        <v>7</v>
      </c>
      <c r="G74" s="284">
        <v>7</v>
      </c>
      <c r="H74" s="280"/>
      <c r="I74" s="281">
        <f>SUM(F74+G74)</f>
        <v>14</v>
      </c>
    </row>
    <row r="75" spans="2:36" ht="16.5">
      <c r="B75" s="31"/>
      <c r="C75" s="282" t="s">
        <v>424</v>
      </c>
      <c r="D75" s="125">
        <f t="shared" ref="D75:G75" si="21">SUM(D70:D74)</f>
        <v>1.4818573317307693</v>
      </c>
      <c r="E75" s="125">
        <f t="shared" si="21"/>
        <v>0.32284735576923074</v>
      </c>
      <c r="F75" s="125">
        <f t="shared" si="21"/>
        <v>29.571743756685365</v>
      </c>
      <c r="G75" s="125">
        <f t="shared" si="21"/>
        <v>21.369974737128739</v>
      </c>
      <c r="H75" s="125"/>
      <c r="I75" s="125">
        <f>SUM(I70:I74)</f>
        <v>50.941718493814108</v>
      </c>
    </row>
    <row r="76" spans="2:36"/>
    <row r="77" spans="2:36">
      <c r="B77" s="317" t="s">
        <v>7</v>
      </c>
      <c r="C77" s="317"/>
      <c r="D77" s="317"/>
      <c r="E77" s="317"/>
      <c r="F77" s="317"/>
      <c r="G77" s="317"/>
      <c r="H77" s="317"/>
      <c r="I77" s="317"/>
    </row>
    <row r="78" spans="2:36">
      <c r="B78" s="318" t="s">
        <v>674</v>
      </c>
      <c r="C78" s="320" t="s">
        <v>675</v>
      </c>
      <c r="D78" s="320" t="s">
        <v>676</v>
      </c>
      <c r="E78" s="320" t="s">
        <v>677</v>
      </c>
      <c r="F78" s="278" t="s">
        <v>422</v>
      </c>
      <c r="G78" s="278" t="s">
        <v>423</v>
      </c>
      <c r="H78" s="278"/>
      <c r="I78" s="321" t="s">
        <v>678</v>
      </c>
    </row>
    <row r="79" spans="2:36">
      <c r="B79" s="319"/>
      <c r="C79" s="317"/>
      <c r="D79" s="317"/>
      <c r="E79" s="317"/>
      <c r="F79" s="248" t="s">
        <v>427</v>
      </c>
      <c r="G79" s="248" t="s">
        <v>427</v>
      </c>
      <c r="H79" s="248" t="s">
        <v>698</v>
      </c>
      <c r="I79" s="322"/>
    </row>
    <row r="80" spans="2:36" ht="16.5">
      <c r="B80" s="31"/>
      <c r="C80" s="31"/>
      <c r="D80" s="123" t="s">
        <v>744</v>
      </c>
      <c r="E80" s="123" t="s">
        <v>745</v>
      </c>
      <c r="F80" s="123" t="s">
        <v>746</v>
      </c>
      <c r="G80" s="123" t="s">
        <v>746</v>
      </c>
      <c r="H80" s="123" t="s">
        <v>748</v>
      </c>
      <c r="I80" s="123" t="s">
        <v>747</v>
      </c>
    </row>
    <row r="81" spans="2:70">
      <c r="B81" s="275" t="s">
        <v>691</v>
      </c>
      <c r="C81" s="275" t="s">
        <v>680</v>
      </c>
      <c r="D81" s="277">
        <f>IF(ISBLANK(C81),"",VLOOKUP(C81,Power1[],17,FALSE)*VLOOKUP(B81,Implements7[],23,FALSE))</f>
        <v>0.13651282051282052</v>
      </c>
      <c r="E81" s="277">
        <f>IF(ISBLANK(B81),"",VLOOKUP(B81,Implements7[],23,FALSE)*VLOOKUP(B81,Implements7[],16,FALSE))</f>
        <v>2.7120315581854043E-2</v>
      </c>
      <c r="F81" s="124">
        <f>IFERROR(IF(ISBLANK(C81),"",D81*$BR$10+E81*$BR$6+VLOOKUP(C81,Power1[],16,FALSE)*VLOOKUP(B81,Implements7[],23,FALSE))+VLOOKUP(B81,Implements7[],22,FALSE),"")</f>
        <v>1.4904592175966394</v>
      </c>
      <c r="G81" s="277">
        <f>IF(ISBLANK(B81),"",VLOOKUP(B81,Implements7[],24,FALSE)+VLOOKUP(C81,Power1[],18,FALSE)*VLOOKUP(B81,Implements7[],23,FALSE))</f>
        <v>5.1936276705683708</v>
      </c>
      <c r="H81" s="283">
        <v>3</v>
      </c>
      <c r="I81" s="124">
        <f>IF(ISBLANK(B81),"",SUM(F81:G81)*H81)</f>
        <v>20.05226066449503</v>
      </c>
    </row>
    <row r="82" spans="2:70">
      <c r="B82" s="275" t="s">
        <v>718</v>
      </c>
      <c r="C82" s="275" t="s">
        <v>689</v>
      </c>
      <c r="D82" s="277">
        <f>IF(ISBLANK(C82),"",VLOOKUP(C82,Power1[],17,FALSE)*VLOOKUP(B82,Implements7[],23,FALSE))</f>
        <v>0.7902040816326531</v>
      </c>
      <c r="E82" s="277">
        <f>IF(ISBLANK(B82),"",VLOOKUP(B82,Implements7[],23,FALSE)*VLOOKUP(B82,Implements7[],16,FALSE))</f>
        <v>0.1173469387755102</v>
      </c>
      <c r="F82" s="124">
        <f>IFERROR(IF(ISBLANK(C82),"",D82*$BR$10+E82*$BR$6+VLOOKUP(C82,Power1[],16,FALSE)*VLOOKUP(B82,Implements7[],23,FALSE))+VLOOKUP(B82,Implements7[],22,FALSE),"")</f>
        <v>9.0727034955725543</v>
      </c>
      <c r="G82" s="277">
        <f>IF(ISBLANK(B82),"",VLOOKUP(B82,Implements7[],24,FALSE)+VLOOKUP(C82,Power1[],18,FALSE)*VLOOKUP(B82,Implements7[],23,FALSE))</f>
        <v>7.6109645158367902</v>
      </c>
      <c r="H82" s="283">
        <v>1</v>
      </c>
      <c r="I82" s="124">
        <f t="shared" ref="I82:I84" si="22">IF(ISBLANK(B82),"",SUM(F82:G82)*H82)</f>
        <v>16.683668011409345</v>
      </c>
    </row>
    <row r="83" spans="2:70">
      <c r="B83" s="275" t="s">
        <v>716</v>
      </c>
      <c r="C83" s="275" t="s">
        <v>689</v>
      </c>
      <c r="D83" s="277">
        <f>IF(ISBLANK(C83),"",VLOOKUP(C83,Power1[],17,FALSE)*VLOOKUP(B83,Implements7[],23,FALSE))</f>
        <v>0.44739495798319334</v>
      </c>
      <c r="E83" s="277">
        <f>IF(ISBLANK(B83),"",VLOOKUP(B83,Implements7[],23,FALSE)*VLOOKUP(B83,Implements7[],16,FALSE))</f>
        <v>5.8928571428571441E-2</v>
      </c>
      <c r="F83" s="124">
        <f>IFERROR(IF(ISBLANK(C83),"",D83*$BR$10+E83*$BR$6+VLOOKUP(C83,Power1[],16,FALSE)*VLOOKUP(B83,Implements7[],23,FALSE))+VLOOKUP(B83,Implements7[],22,FALSE),"")</f>
        <v>4.1498295034302108</v>
      </c>
      <c r="G83" s="277">
        <f>IF(ISBLANK(B83),"",VLOOKUP(B83,Implements7[],24,FALSE)+VLOOKUP(C83,Power1[],18,FALSE)*VLOOKUP(B83,Implements7[],23,FALSE))</f>
        <v>5.0677011249654127</v>
      </c>
      <c r="H83" s="283">
        <v>1</v>
      </c>
      <c r="I83" s="124">
        <f t="shared" si="22"/>
        <v>9.2175306283956235</v>
      </c>
    </row>
    <row r="84" spans="2:70">
      <c r="B84" s="275" t="s">
        <v>719</v>
      </c>
      <c r="C84" s="275" t="s">
        <v>680</v>
      </c>
      <c r="D84" s="277">
        <f>IF(ISBLANK(C84),"",VLOOKUP(C84,Power1[],17,FALSE)*VLOOKUP(B84,Implements7[],23,FALSE))</f>
        <v>0.44942857142857146</v>
      </c>
      <c r="E84" s="277">
        <f>IF(ISBLANK(B84),"",VLOOKUP(B84,Implements7[],23,FALSE)*VLOOKUP(B84,Implements7[],16,FALSE))</f>
        <v>8.2857142857142865E-2</v>
      </c>
      <c r="F84" s="124">
        <f>IFERROR(IF(ISBLANK(C84),"",D84*$BR$10+E84*$BR$6+VLOOKUP(C84,Power1[],16,FALSE)*VLOOKUP(B84,Implements7[],23,FALSE))+VLOOKUP(B84,Implements7[],22,FALSE),"")</f>
        <v>6.3900500099839466</v>
      </c>
      <c r="G84" s="277">
        <f>IF(ISBLANK(B84),"",VLOOKUP(B84,Implements7[],24,FALSE)+VLOOKUP(C84,Power1[],18,FALSE)*VLOOKUP(B84,Implements7[],23,FALSE))</f>
        <v>14.705164581965422</v>
      </c>
      <c r="H84" s="283">
        <v>1</v>
      </c>
      <c r="I84" s="124">
        <f t="shared" si="22"/>
        <v>21.095214591949368</v>
      </c>
    </row>
    <row r="85" spans="2:70">
      <c r="B85" s="275"/>
      <c r="C85" s="275"/>
      <c r="D85" s="277" t="str">
        <f>IF(ISBLANK(C85),"",VLOOKUP(C85,Power1[],17,FALSE)*VLOOKUP(B85,Implements7[],23,FALSE))</f>
        <v/>
      </c>
      <c r="E85" s="277" t="str">
        <f>IF(ISBLANK(B85),"",VLOOKUP(B85,Implements7[],23,FALSE)*VLOOKUP(B85,Implements7[],16,FALSE))</f>
        <v/>
      </c>
      <c r="F85" s="124" t="str">
        <f>IFERROR(IF(ISBLANK(C85),"",D85*$BR$10+E85*$BR$6+VLOOKUP(C85,Power1[],16,FALSE)*VLOOKUP(B85,Implements7[],23,FALSE))+VLOOKUP(B85,Implements7[],22,FALSE),"")</f>
        <v/>
      </c>
      <c r="G85" s="277" t="str">
        <f>IF(ISBLANK(B85),"",VLOOKUP(B85,Implements7[],24,FALSE)+VLOOKUP(C85,Power1[],18,FALSE)*VLOOKUP(B85,Implements7[],23,FALSE))</f>
        <v/>
      </c>
      <c r="H85" s="283"/>
      <c r="I85" s="124" t="str">
        <f>IF(ISBLANK(B85),"",SUM(F85:G85)*H85)</f>
        <v/>
      </c>
    </row>
    <row r="86" spans="2:70">
      <c r="B86" s="279" t="s">
        <v>403</v>
      </c>
      <c r="C86" s="279"/>
      <c r="D86" s="280"/>
      <c r="E86" s="280"/>
      <c r="F86" s="284">
        <v>7</v>
      </c>
      <c r="G86" s="284">
        <v>7</v>
      </c>
      <c r="H86" s="280"/>
      <c r="I86" s="281">
        <f>SUM(F86+G86)</f>
        <v>14</v>
      </c>
    </row>
    <row r="87" spans="2:70" ht="16.5">
      <c r="B87" s="31"/>
      <c r="C87" s="282" t="s">
        <v>424</v>
      </c>
      <c r="D87" s="125">
        <f>SUM(D81:D86)</f>
        <v>1.8235404315572386</v>
      </c>
      <c r="E87" s="125">
        <f>SUM(E81:E86)</f>
        <v>0.28625296864307853</v>
      </c>
      <c r="F87" s="125">
        <f>SUM(F81:F86)</f>
        <v>28.103042226583348</v>
      </c>
      <c r="G87" s="125">
        <f>SUM(G81:G86)</f>
        <v>39.577457893335996</v>
      </c>
      <c r="H87" s="125"/>
      <c r="I87" s="125">
        <f>SUM(I81:I86)</f>
        <v>81.048673896249369</v>
      </c>
    </row>
    <row r="88" spans="2:70"/>
    <row r="92" spans="2:70" hidden="1">
      <c r="BQ92" s="98"/>
      <c r="BR92" s="98"/>
    </row>
    <row r="93" spans="2:70" hidden="1">
      <c r="BQ93" s="98"/>
      <c r="BR93" s="98"/>
    </row>
    <row r="94" spans="2:70" hidden="1">
      <c r="BQ94" s="98"/>
      <c r="BR94" s="98"/>
    </row>
    <row r="95" spans="2:70" hidden="1">
      <c r="BQ95" s="98"/>
      <c r="BR95" s="98"/>
    </row>
    <row r="96" spans="2:70" hidden="1">
      <c r="BQ96" s="98"/>
      <c r="BR96" s="98"/>
    </row>
    <row r="97" spans="30:70" hidden="1">
      <c r="BQ97" s="98"/>
      <c r="BR97" s="98"/>
    </row>
    <row r="98" spans="30:70" hidden="1">
      <c r="BQ98" s="98"/>
      <c r="BR98" s="98"/>
    </row>
    <row r="99" spans="30:70" hidden="1">
      <c r="AD99" s="117"/>
      <c r="AE99" s="117"/>
      <c r="AF99" s="117"/>
      <c r="BQ99" s="98"/>
      <c r="BR99" s="98"/>
    </row>
    <row r="100" spans="30:70" hidden="1">
      <c r="BQ100" s="98"/>
      <c r="BR100" s="98"/>
    </row>
    <row r="101" spans="30:70" hidden="1">
      <c r="BQ101" s="98"/>
      <c r="BR101" s="98"/>
    </row>
    <row r="102" spans="30:70" hidden="1">
      <c r="BQ102" s="98"/>
      <c r="BR102" s="98"/>
    </row>
    <row r="103" spans="30:70" hidden="1">
      <c r="BQ103" s="98"/>
      <c r="BR103" s="98"/>
    </row>
    <row r="104" spans="30:70" hidden="1">
      <c r="BQ104" s="98"/>
      <c r="BR104" s="98"/>
    </row>
    <row r="105" spans="30:70" hidden="1">
      <c r="BQ105" s="98"/>
      <c r="BR105" s="98"/>
    </row>
    <row r="106" spans="30:70" hidden="1">
      <c r="BQ106" s="98"/>
      <c r="BR106" s="98"/>
    </row>
    <row r="107" spans="30:70" hidden="1">
      <c r="BQ107" s="98"/>
      <c r="BR107" s="98"/>
    </row>
    <row r="108" spans="30:70" hidden="1">
      <c r="BQ108" s="98"/>
      <c r="BR108" s="98"/>
    </row>
    <row r="109" spans="30:70" hidden="1">
      <c r="BQ109" s="98"/>
      <c r="BR109" s="98"/>
    </row>
    <row r="110" spans="30:70" hidden="1">
      <c r="BQ110" s="98"/>
      <c r="BR110" s="98"/>
    </row>
    <row r="111" spans="30:70" hidden="1">
      <c r="BQ111" s="98"/>
      <c r="BR111" s="98"/>
    </row>
    <row r="112" spans="30:70" hidden="1">
      <c r="BQ112" s="98"/>
      <c r="BR112" s="98"/>
    </row>
    <row r="113" spans="69:70" hidden="1">
      <c r="BQ113" s="98"/>
      <c r="BR113" s="98"/>
    </row>
    <row r="114" spans="69:70" hidden="1">
      <c r="BQ114" s="98"/>
      <c r="BR114" s="98"/>
    </row>
    <row r="115" spans="69:70" hidden="1">
      <c r="BQ115" s="98"/>
      <c r="BR115" s="98"/>
    </row>
    <row r="116" spans="69:70" hidden="1">
      <c r="BQ116" s="98"/>
      <c r="BR116" s="98"/>
    </row>
    <row r="117" spans="69:70" hidden="1">
      <c r="BQ117" s="98"/>
      <c r="BR117" s="98"/>
    </row>
    <row r="118" spans="69:70" hidden="1">
      <c r="BQ118" s="98"/>
      <c r="BR118" s="98"/>
    </row>
    <row r="119" spans="69:70" hidden="1">
      <c r="BQ119" s="98"/>
      <c r="BR119" s="98"/>
    </row>
    <row r="120" spans="69:70" hidden="1">
      <c r="BQ120" s="98"/>
      <c r="BR120" s="98"/>
    </row>
    <row r="121" spans="69:70" hidden="1">
      <c r="BQ121" s="98"/>
      <c r="BR121" s="98"/>
    </row>
    <row r="122" spans="69:70" hidden="1">
      <c r="BQ122" s="98"/>
      <c r="BR122" s="98"/>
    </row>
    <row r="123" spans="69:70" hidden="1">
      <c r="BQ123" s="98"/>
      <c r="BR123" s="98"/>
    </row>
    <row r="124" spans="69:70" hidden="1">
      <c r="BQ124" s="98"/>
      <c r="BR124" s="98"/>
    </row>
    <row r="125" spans="69:70" hidden="1">
      <c r="BQ125" s="98"/>
      <c r="BR125" s="98"/>
    </row>
    <row r="126" spans="69:70" hidden="1">
      <c r="BQ126" s="98"/>
      <c r="BR126" s="98"/>
    </row>
    <row r="127" spans="69:70" hidden="1">
      <c r="BQ127" s="98"/>
      <c r="BR127" s="98"/>
    </row>
    <row r="128" spans="69:70" hidden="1">
      <c r="BQ128" s="98"/>
      <c r="BR128" s="98"/>
    </row>
    <row r="129" spans="69:70" hidden="1">
      <c r="BQ129" s="98"/>
      <c r="BR129" s="98"/>
    </row>
    <row r="130" spans="69:70" hidden="1">
      <c r="BQ130" s="98"/>
      <c r="BR130" s="98"/>
    </row>
    <row r="131" spans="69:70" hidden="1">
      <c r="BQ131" s="98"/>
      <c r="BR131" s="98"/>
    </row>
    <row r="132" spans="69:70" hidden="1">
      <c r="BQ132" s="98"/>
      <c r="BR132" s="98"/>
    </row>
    <row r="133" spans="69:70" hidden="1">
      <c r="BQ133" s="98"/>
      <c r="BR133" s="98"/>
    </row>
    <row r="134" spans="69:70" hidden="1">
      <c r="BQ134" s="98"/>
      <c r="BR134" s="98"/>
    </row>
    <row r="135" spans="69:70" hidden="1">
      <c r="BQ135" s="98"/>
      <c r="BR135" s="98"/>
    </row>
    <row r="136" spans="69:70" hidden="1">
      <c r="BQ136" s="98"/>
      <c r="BR136" s="98"/>
    </row>
    <row r="159" spans="97:97" hidden="1">
      <c r="CS159" s="118"/>
    </row>
    <row r="162" spans="79:101" hidden="1">
      <c r="CA162" s="64"/>
      <c r="CB162" s="64"/>
      <c r="CC162" s="64"/>
      <c r="CD162" s="64"/>
      <c r="CE162" s="64"/>
      <c r="CF162" s="64"/>
      <c r="CG162" s="64"/>
      <c r="CH162" s="64"/>
      <c r="CI162" s="64"/>
      <c r="CJ162" s="64"/>
      <c r="CK162" s="64"/>
      <c r="CL162" s="64"/>
      <c r="CM162" s="64"/>
      <c r="CN162" s="64"/>
      <c r="CO162" s="64"/>
      <c r="CP162" s="64"/>
      <c r="CQ162" s="64"/>
      <c r="CR162" s="64"/>
      <c r="CS162" s="64"/>
      <c r="CT162" s="64"/>
      <c r="CU162" s="64"/>
      <c r="CV162" s="64"/>
      <c r="CW162" s="64"/>
    </row>
  </sheetData>
  <sheetProtection sheet="1" objects="1" scenarios="1" selectLockedCells="1"/>
  <protectedRanges>
    <protectedRange sqref="B8:C15 F16:G16 H8:H15 H23:H28 F29:G29 B23:C28 B36:C41 F42:G42 H36:H41 H49:H51 F52:G52 B49:C51 B59:C62 F63:G63 H59:H62 H70:H73 F74:G74 B70:C73 B81:C85 F86:G86 H81:H85" name="Grey edit cells"/>
  </protectedRanges>
  <mergeCells count="42">
    <mergeCell ref="B4:I4"/>
    <mergeCell ref="B19:I19"/>
    <mergeCell ref="B20:B21"/>
    <mergeCell ref="C20:C21"/>
    <mergeCell ref="D20:D21"/>
    <mergeCell ref="E20:E21"/>
    <mergeCell ref="I20:I21"/>
    <mergeCell ref="B5:B6"/>
    <mergeCell ref="C5:C6"/>
    <mergeCell ref="D5:D6"/>
    <mergeCell ref="E5:E6"/>
    <mergeCell ref="I5:I6"/>
    <mergeCell ref="B32:I32"/>
    <mergeCell ref="B33:B34"/>
    <mergeCell ref="C33:C34"/>
    <mergeCell ref="D33:D34"/>
    <mergeCell ref="E33:E34"/>
    <mergeCell ref="I33:I34"/>
    <mergeCell ref="B45:I45"/>
    <mergeCell ref="B46:B47"/>
    <mergeCell ref="C46:C47"/>
    <mergeCell ref="D46:D47"/>
    <mergeCell ref="E46:E47"/>
    <mergeCell ref="I46:I47"/>
    <mergeCell ref="B55:I55"/>
    <mergeCell ref="B56:B57"/>
    <mergeCell ref="C56:C57"/>
    <mergeCell ref="D56:D57"/>
    <mergeCell ref="E56:E57"/>
    <mergeCell ref="I56:I57"/>
    <mergeCell ref="B66:I66"/>
    <mergeCell ref="B67:B68"/>
    <mergeCell ref="C67:C68"/>
    <mergeCell ref="D67:D68"/>
    <mergeCell ref="E67:E68"/>
    <mergeCell ref="I67:I68"/>
    <mergeCell ref="B77:I77"/>
    <mergeCell ref="B78:B79"/>
    <mergeCell ref="C78:C79"/>
    <mergeCell ref="D78:D79"/>
    <mergeCell ref="E78:E79"/>
    <mergeCell ref="I78:I79"/>
  </mergeCells>
  <dataValidations count="4">
    <dataValidation type="list" allowBlank="1" showInputMessage="1" showErrorMessage="1" sqref="W5" xr:uid="{91C67832-7CBD-413D-A36B-168C176278B5}">
      <formula1>repair_impl</formula1>
    </dataValidation>
    <dataValidation type="list" allowBlank="1" showInputMessage="1" showErrorMessage="1" sqref="C8:C15 C23:C28 C36:C41 C59:C62 C70:C73 C81:C85 C49:C51" xr:uid="{A75CE179-0160-4259-B51E-7717ECF83CB9}">
      <formula1>PowerSel</formula1>
    </dataValidation>
    <dataValidation type="list" allowBlank="1" showInputMessage="1" showErrorMessage="1" sqref="B8:B15 B70:B73 B59:B62 B23:B28 B36:B41 B81:B85 B49:B51" xr:uid="{5B7A3D0C-8D04-4FA4-9724-B51DF819A10A}">
      <formula1>$K$6:$K$68</formula1>
    </dataValidation>
    <dataValidation type="list" allowBlank="1" showInputMessage="1" showErrorMessage="1" sqref="W6:W68" xr:uid="{1E31608F-88F1-4055-81A4-136721B9D049}">
      <formula1>$BE$6:$BE$49</formula1>
    </dataValidation>
  </dataValidations>
  <pageMargins left="0.7" right="0.7" top="0.75" bottom="0.75" header="0.3" footer="0.3"/>
  <pageSetup orientation="portrait" r:id="rId1"/>
  <ignoredErrors>
    <ignoredError sqref="BR10 BR6 BR12" unlockedFormula="1"/>
  </ignoredErrors>
  <tableParts count="4">
    <tablePart r:id="rId2"/>
    <tablePart r:id="rId3"/>
    <tablePart r:id="rId4"/>
    <tablePart r:id="rId5"/>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50384-F215-44C2-84FD-8DD6B5AB1C1A}">
  <dimension ref="A1:L62"/>
  <sheetViews>
    <sheetView workbookViewId="0">
      <selection activeCell="E6" sqref="E6"/>
    </sheetView>
  </sheetViews>
  <sheetFormatPr defaultColWidth="0" defaultRowHeight="14.25" zeroHeight="1"/>
  <cols>
    <col min="1" max="1" width="2.625" style="59" customWidth="1"/>
    <col min="2" max="2" width="42.25" style="59" bestFit="1" customWidth="1"/>
    <col min="3" max="4" width="14.5" style="59" customWidth="1"/>
    <col min="5" max="5" width="9" style="59" customWidth="1"/>
    <col min="6" max="6" width="2.625" style="59" customWidth="1"/>
    <col min="7" max="7" width="9" style="59" hidden="1" customWidth="1"/>
    <col min="8" max="8" width="14.625" style="59" hidden="1" customWidth="1"/>
    <col min="9" max="9" width="64.375" style="59" hidden="1" customWidth="1"/>
    <col min="10" max="10" width="17.875" style="59" hidden="1" customWidth="1"/>
    <col min="11" max="11" width="17.75" style="59" hidden="1" customWidth="1"/>
    <col min="12" max="12" width="19.625" style="59" hidden="1" customWidth="1"/>
    <col min="13" max="16384" width="9" style="59" hidden="1"/>
  </cols>
  <sheetData>
    <row r="1" spans="2:12"/>
    <row r="2" spans="2:12"/>
    <row r="3" spans="2:12" ht="16.5" customHeight="1">
      <c r="H3" s="119" t="s">
        <v>626</v>
      </c>
      <c r="I3" s="120" t="s">
        <v>480</v>
      </c>
      <c r="J3" s="120" t="s">
        <v>627</v>
      </c>
      <c r="K3" s="120" t="s">
        <v>479</v>
      </c>
      <c r="L3" s="59" t="s">
        <v>780</v>
      </c>
    </row>
    <row r="4" spans="2:12" ht="16.5" customHeight="1">
      <c r="B4" s="317" t="s">
        <v>697</v>
      </c>
      <c r="C4" s="317"/>
      <c r="D4" s="317"/>
      <c r="E4" s="317"/>
      <c r="H4" s="59" t="s">
        <v>628</v>
      </c>
      <c r="I4" s="97" t="s">
        <v>535</v>
      </c>
      <c r="J4" s="121">
        <v>27.1</v>
      </c>
      <c r="K4" s="97" t="s">
        <v>398</v>
      </c>
      <c r="L4" s="59" t="s">
        <v>781</v>
      </c>
    </row>
    <row r="5" spans="2:12" ht="16.5" customHeight="1">
      <c r="B5" s="136" t="s">
        <v>741</v>
      </c>
      <c r="C5" s="157" t="s">
        <v>742</v>
      </c>
      <c r="D5" s="158" t="s">
        <v>479</v>
      </c>
      <c r="E5" s="157" t="s">
        <v>698</v>
      </c>
      <c r="H5" s="59" t="s">
        <v>628</v>
      </c>
      <c r="I5" s="97" t="s">
        <v>629</v>
      </c>
      <c r="J5" s="121">
        <v>21.36</v>
      </c>
      <c r="K5" s="97" t="s">
        <v>398</v>
      </c>
      <c r="L5" s="59" t="s">
        <v>781</v>
      </c>
    </row>
    <row r="6" spans="2:12" ht="16.5" customHeight="1">
      <c r="B6" s="275" t="s">
        <v>481</v>
      </c>
      <c r="C6" s="175">
        <f>IF(ISBLANK($B6),"",VLOOKUP($B6,$I$3:$K$53,2,FALSE))</f>
        <v>7.02</v>
      </c>
      <c r="D6" s="32" t="str">
        <f>IF(ISBLANK($B6),"",VLOOKUP($B6,$I$3:$K$53,3,FALSE))</f>
        <v>per acre</v>
      </c>
      <c r="E6" s="275">
        <v>2</v>
      </c>
      <c r="H6" s="59" t="s">
        <v>628</v>
      </c>
      <c r="I6" s="97" t="s">
        <v>564</v>
      </c>
      <c r="J6" s="121">
        <v>23.81</v>
      </c>
      <c r="K6" s="97" t="s">
        <v>398</v>
      </c>
      <c r="L6" s="59" t="s">
        <v>781</v>
      </c>
    </row>
    <row r="7" spans="2:12" ht="16.5" customHeight="1">
      <c r="B7" s="275" t="s">
        <v>791</v>
      </c>
      <c r="C7" s="175">
        <f>IF(ISBLANK($B7),"",VLOOKUP($B7,$I$3:$K$53,2,FALSE))</f>
        <v>0.9</v>
      </c>
      <c r="D7" s="32" t="str">
        <f>IF(ISBLANK($B7),"",VLOOKUP($B7,$I$3:$K$53,3,FALSE))</f>
        <v>per bale</v>
      </c>
      <c r="E7" s="275"/>
      <c r="H7" s="59" t="s">
        <v>628</v>
      </c>
      <c r="I7" s="97" t="s">
        <v>630</v>
      </c>
      <c r="J7" s="121">
        <v>19.75</v>
      </c>
      <c r="K7" s="97" t="s">
        <v>398</v>
      </c>
      <c r="L7" s="59" t="s">
        <v>781</v>
      </c>
    </row>
    <row r="8" spans="2:12" ht="16.5" customHeight="1">
      <c r="B8" s="276" t="s">
        <v>482</v>
      </c>
      <c r="C8" s="176">
        <f>IF(ISBLANK(B8),"",VLOOKUP(B8,$I$3:$K$53,2,FALSE))</f>
        <v>0</v>
      </c>
      <c r="D8" s="177" t="str">
        <f>IF(ISBLANK($B8),"",VLOOKUP($B8,$I$3:$K$53,3,FALSE))</f>
        <v>per acre</v>
      </c>
      <c r="E8" s="276"/>
      <c r="H8" s="59" t="s">
        <v>628</v>
      </c>
      <c r="I8" s="97" t="s">
        <v>557</v>
      </c>
      <c r="J8" s="121">
        <v>19.05</v>
      </c>
      <c r="K8" s="97" t="s">
        <v>398</v>
      </c>
      <c r="L8" s="59" t="s">
        <v>781</v>
      </c>
    </row>
    <row r="9" spans="2:12" ht="16.5" customHeight="1">
      <c r="H9" s="59" t="s">
        <v>628</v>
      </c>
      <c r="I9" s="97" t="s">
        <v>631</v>
      </c>
      <c r="J9" s="121">
        <v>97.86</v>
      </c>
      <c r="K9" s="97" t="s">
        <v>632</v>
      </c>
      <c r="L9" s="59" t="s">
        <v>781</v>
      </c>
    </row>
    <row r="10" spans="2:12" ht="16.5" customHeight="1">
      <c r="B10" s="317" t="s">
        <v>699</v>
      </c>
      <c r="C10" s="317"/>
      <c r="D10" s="317"/>
      <c r="E10" s="317"/>
      <c r="H10" s="59" t="s">
        <v>628</v>
      </c>
      <c r="I10" s="97" t="s">
        <v>633</v>
      </c>
      <c r="J10" s="121">
        <v>95.71</v>
      </c>
      <c r="K10" s="97" t="s">
        <v>632</v>
      </c>
      <c r="L10" s="59" t="s">
        <v>781</v>
      </c>
    </row>
    <row r="11" spans="2:12" ht="16.5" customHeight="1">
      <c r="B11" s="136" t="s">
        <v>741</v>
      </c>
      <c r="C11" s="157" t="s">
        <v>742</v>
      </c>
      <c r="D11" s="158" t="s">
        <v>479</v>
      </c>
      <c r="E11" s="157" t="s">
        <v>698</v>
      </c>
      <c r="H11" s="59" t="s">
        <v>634</v>
      </c>
      <c r="I11" s="97" t="s">
        <v>635</v>
      </c>
      <c r="J11" s="121">
        <v>24.17</v>
      </c>
      <c r="K11" s="97" t="s">
        <v>398</v>
      </c>
      <c r="L11" s="59" t="s">
        <v>781</v>
      </c>
    </row>
    <row r="12" spans="2:12" ht="16.5" customHeight="1">
      <c r="B12" s="275" t="s">
        <v>481</v>
      </c>
      <c r="C12" s="175">
        <f>IF(ISBLANK($B12),"",VLOOKUP($B12,$I$3:$K$53,2,FALSE))</f>
        <v>7.02</v>
      </c>
      <c r="D12" s="32" t="str">
        <f>IF(ISBLANK($B12),"",VLOOKUP($B12,$I$3:$K$53,3,FALSE))</f>
        <v>per acre</v>
      </c>
      <c r="E12" s="275">
        <v>2</v>
      </c>
      <c r="H12" s="59" t="s">
        <v>634</v>
      </c>
      <c r="I12" s="97" t="s">
        <v>636</v>
      </c>
      <c r="J12" s="121">
        <v>28.5</v>
      </c>
      <c r="K12" s="97" t="s">
        <v>398</v>
      </c>
      <c r="L12" s="59" t="s">
        <v>781</v>
      </c>
    </row>
    <row r="13" spans="2:12" ht="16.5" customHeight="1">
      <c r="B13" s="275" t="s">
        <v>761</v>
      </c>
      <c r="C13" s="175">
        <f>IF(ISBLANK($B13),"",VLOOKUP($B13,$I$3:$K$53,2,FALSE))</f>
        <v>6.5</v>
      </c>
      <c r="D13" s="32" t="str">
        <f>IF(ISBLANK($B13),"",VLOOKUP($B13,$I$3:$K$53,3,FALSE))</f>
        <v>per bale</v>
      </c>
      <c r="E13" s="275"/>
      <c r="H13" s="59" t="s">
        <v>634</v>
      </c>
      <c r="I13" s="97" t="s">
        <v>637</v>
      </c>
      <c r="J13" s="121">
        <v>28.5</v>
      </c>
      <c r="K13" s="97" t="s">
        <v>398</v>
      </c>
      <c r="L13" s="59" t="s">
        <v>781</v>
      </c>
    </row>
    <row r="14" spans="2:12" ht="16.5" customHeight="1">
      <c r="B14" s="276" t="s">
        <v>673</v>
      </c>
      <c r="C14" s="176">
        <f>IF(ISBLANK(B14),"",VLOOKUP(B14,$I$3:$K$53,2,FALSE))</f>
        <v>10</v>
      </c>
      <c r="D14" s="177" t="str">
        <f>IF(ISBLANK($B14),"",VLOOKUP($B14,$I$3:$K$53,3,FALSE))</f>
        <v>per bale</v>
      </c>
      <c r="E14" s="276"/>
      <c r="H14" s="59" t="s">
        <v>634</v>
      </c>
      <c r="I14" s="97" t="s">
        <v>638</v>
      </c>
      <c r="J14" s="121">
        <v>25.31</v>
      </c>
      <c r="K14" s="97" t="s">
        <v>398</v>
      </c>
      <c r="L14" s="59" t="s">
        <v>781</v>
      </c>
    </row>
    <row r="15" spans="2:12" ht="16.5" customHeight="1">
      <c r="H15" s="59" t="s">
        <v>634</v>
      </c>
      <c r="I15" s="97" t="s">
        <v>639</v>
      </c>
      <c r="J15" s="121">
        <v>26.04</v>
      </c>
      <c r="K15" s="97" t="s">
        <v>398</v>
      </c>
      <c r="L15" s="59" t="s">
        <v>781</v>
      </c>
    </row>
    <row r="16" spans="2:12" ht="16.5" customHeight="1">
      <c r="B16" s="317" t="s">
        <v>705</v>
      </c>
      <c r="C16" s="317"/>
      <c r="D16" s="317"/>
      <c r="E16" s="317"/>
      <c r="H16" s="59" t="s">
        <v>634</v>
      </c>
      <c r="I16" s="97" t="s">
        <v>640</v>
      </c>
      <c r="J16" s="121">
        <v>22.33</v>
      </c>
      <c r="K16" s="97" t="s">
        <v>398</v>
      </c>
      <c r="L16" s="59" t="s">
        <v>781</v>
      </c>
    </row>
    <row r="17" spans="2:12" ht="16.5" customHeight="1">
      <c r="B17" s="136" t="s">
        <v>741</v>
      </c>
      <c r="C17" s="157" t="s">
        <v>742</v>
      </c>
      <c r="D17" s="158" t="s">
        <v>479</v>
      </c>
      <c r="E17" s="157" t="s">
        <v>698</v>
      </c>
      <c r="H17" s="59" t="s">
        <v>634</v>
      </c>
      <c r="I17" s="97" t="s">
        <v>641</v>
      </c>
      <c r="J17" s="121">
        <v>24.77</v>
      </c>
      <c r="K17" s="97" t="s">
        <v>398</v>
      </c>
      <c r="L17" s="59" t="s">
        <v>781</v>
      </c>
    </row>
    <row r="18" spans="2:12" ht="16.5" customHeight="1">
      <c r="B18" s="275" t="s">
        <v>481</v>
      </c>
      <c r="C18" s="175">
        <f>IF(ISBLANK($B18),"",VLOOKUP($B18,$I$3:$K$53,2,FALSE))</f>
        <v>7.02</v>
      </c>
      <c r="D18" s="32" t="str">
        <f>IF(ISBLANK($B18),"",VLOOKUP($B18,$I$3:$K$53,3,FALSE))</f>
        <v>per acre</v>
      </c>
      <c r="E18" s="275">
        <v>2</v>
      </c>
      <c r="H18" s="59" t="s">
        <v>634</v>
      </c>
      <c r="I18" s="97" t="s">
        <v>642</v>
      </c>
      <c r="J18" s="121">
        <v>24.81</v>
      </c>
      <c r="K18" s="97" t="s">
        <v>398</v>
      </c>
      <c r="L18" s="59" t="s">
        <v>781</v>
      </c>
    </row>
    <row r="19" spans="2:12" ht="16.5" customHeight="1">
      <c r="B19" s="275" t="s">
        <v>791</v>
      </c>
      <c r="C19" s="175">
        <f>IF(ISBLANK($B19),"",VLOOKUP($B19,$I$3:$K$53,2,FALSE))</f>
        <v>0.9</v>
      </c>
      <c r="D19" s="32" t="str">
        <f>IF(ISBLANK($B19),"",VLOOKUP($B19,$I$3:$K$53,3,FALSE))</f>
        <v>per bale</v>
      </c>
      <c r="E19" s="275"/>
      <c r="H19" s="59" t="s">
        <v>634</v>
      </c>
      <c r="I19" s="97" t="s">
        <v>643</v>
      </c>
      <c r="J19" s="121">
        <v>29.07</v>
      </c>
      <c r="K19" s="97" t="s">
        <v>398</v>
      </c>
      <c r="L19" s="59" t="s">
        <v>781</v>
      </c>
    </row>
    <row r="20" spans="2:12" ht="16.5" customHeight="1">
      <c r="B20" s="276"/>
      <c r="C20" s="178" t="str">
        <f>IF(ISBLANK(B20),"",VLOOKUP(B20,$I$3:$K$53,2,FALSE))</f>
        <v/>
      </c>
      <c r="D20" s="177" t="str">
        <f>IF(ISBLANK($B20),"",VLOOKUP($B20,$I$3:$K$53,3,FALSE))</f>
        <v/>
      </c>
      <c r="E20" s="276"/>
      <c r="H20" s="59" t="s">
        <v>634</v>
      </c>
      <c r="I20" s="97" t="s">
        <v>644</v>
      </c>
      <c r="J20" s="121">
        <v>27.89</v>
      </c>
      <c r="K20" s="97" t="s">
        <v>398</v>
      </c>
      <c r="L20" s="59" t="s">
        <v>781</v>
      </c>
    </row>
    <row r="21" spans="2:12" ht="16.5" customHeight="1">
      <c r="H21" s="59" t="s">
        <v>634</v>
      </c>
      <c r="I21" s="97" t="s">
        <v>645</v>
      </c>
      <c r="J21" s="121">
        <v>25.72</v>
      </c>
      <c r="K21" s="97" t="s">
        <v>398</v>
      </c>
      <c r="L21" s="59" t="s">
        <v>781</v>
      </c>
    </row>
    <row r="22" spans="2:12" ht="16.5" customHeight="1">
      <c r="B22" s="317" t="s">
        <v>7</v>
      </c>
      <c r="C22" s="317"/>
      <c r="D22" s="317"/>
      <c r="E22" s="317"/>
      <c r="H22" s="59" t="s">
        <v>634</v>
      </c>
      <c r="I22" s="97" t="s">
        <v>646</v>
      </c>
      <c r="J22" s="121">
        <v>21</v>
      </c>
      <c r="K22" s="97" t="s">
        <v>398</v>
      </c>
      <c r="L22" s="59" t="s">
        <v>781</v>
      </c>
    </row>
    <row r="23" spans="2:12" ht="16.5" customHeight="1">
      <c r="B23" s="136" t="s">
        <v>741</v>
      </c>
      <c r="C23" s="157" t="s">
        <v>742</v>
      </c>
      <c r="D23" s="158" t="s">
        <v>479</v>
      </c>
      <c r="E23" s="157" t="s">
        <v>698</v>
      </c>
      <c r="H23" s="59" t="s">
        <v>647</v>
      </c>
      <c r="I23" s="97" t="s">
        <v>481</v>
      </c>
      <c r="J23" s="121">
        <v>7.02</v>
      </c>
      <c r="K23" s="97" t="s">
        <v>398</v>
      </c>
      <c r="L23" s="59" t="s">
        <v>781</v>
      </c>
    </row>
    <row r="24" spans="2:12" ht="16.5" customHeight="1">
      <c r="B24" s="275" t="s">
        <v>481</v>
      </c>
      <c r="C24" s="175">
        <f>IF(ISBLANK($B24),"",VLOOKUP($B24,$I$3:$K$53,2,FALSE))</f>
        <v>7.02</v>
      </c>
      <c r="D24" s="32" t="str">
        <f>IF(ISBLANK($B24),"",VLOOKUP($B24,$I$3:$K$53,3,FALSE))</f>
        <v>per acre</v>
      </c>
      <c r="E24" s="275">
        <v>1</v>
      </c>
      <c r="H24" s="59" t="s">
        <v>647</v>
      </c>
      <c r="I24" s="97" t="s">
        <v>648</v>
      </c>
      <c r="J24" s="121">
        <v>10.06</v>
      </c>
      <c r="K24" s="97" t="s">
        <v>398</v>
      </c>
      <c r="L24" s="59" t="s">
        <v>781</v>
      </c>
    </row>
    <row r="25" spans="2:12" ht="16.5" customHeight="1">
      <c r="B25" s="275" t="s">
        <v>783</v>
      </c>
      <c r="C25" s="175">
        <f>IF(ISBLANK($B25),"",VLOOKUP($B25,$I$3:$K$53,2,FALSE))</f>
        <v>10</v>
      </c>
      <c r="D25" s="32" t="str">
        <f>IF(ISBLANK($B25),"",VLOOKUP($B25,$I$3:$K$53,3,FALSE))</f>
        <v>per ton</v>
      </c>
      <c r="E25" s="275"/>
      <c r="H25" s="59" t="s">
        <v>647</v>
      </c>
      <c r="I25" s="97" t="s">
        <v>649</v>
      </c>
      <c r="J25" s="121">
        <v>9.93</v>
      </c>
      <c r="K25" s="97" t="s">
        <v>398</v>
      </c>
      <c r="L25" s="59" t="s">
        <v>781</v>
      </c>
    </row>
    <row r="26" spans="2:12" ht="16.5" customHeight="1">
      <c r="B26" s="276"/>
      <c r="C26" s="178" t="str">
        <f>IF(ISBLANK(B26),"",VLOOKUP(B26,$I$3:$K$53,2,FALSE))</f>
        <v/>
      </c>
      <c r="D26" s="177" t="str">
        <f>IF(ISBLANK($B26),"",VLOOKUP($B26,$I$3:$K$53,3,FALSE))</f>
        <v/>
      </c>
      <c r="E26" s="276"/>
      <c r="H26" s="59" t="s">
        <v>647</v>
      </c>
      <c r="I26" s="97" t="s">
        <v>650</v>
      </c>
      <c r="J26" s="121">
        <v>7.25</v>
      </c>
      <c r="K26" s="97" t="s">
        <v>398</v>
      </c>
      <c r="L26" s="59" t="s">
        <v>781</v>
      </c>
    </row>
    <row r="27" spans="2:12" ht="16.5" customHeight="1">
      <c r="H27" s="59" t="s">
        <v>647</v>
      </c>
      <c r="I27" s="97" t="s">
        <v>651</v>
      </c>
      <c r="J27" s="121">
        <v>7.81</v>
      </c>
      <c r="K27" s="97" t="s">
        <v>398</v>
      </c>
      <c r="L27" s="59" t="s">
        <v>781</v>
      </c>
    </row>
    <row r="28" spans="2:12" ht="16.5" customHeight="1">
      <c r="B28" s="317" t="s">
        <v>712</v>
      </c>
      <c r="C28" s="317"/>
      <c r="D28" s="317"/>
      <c r="E28" s="317"/>
      <c r="H28" s="59" t="s">
        <v>647</v>
      </c>
      <c r="I28" s="97" t="s">
        <v>652</v>
      </c>
      <c r="J28" s="121">
        <v>7.84</v>
      </c>
      <c r="K28" s="97" t="s">
        <v>398</v>
      </c>
      <c r="L28" s="59" t="s">
        <v>781</v>
      </c>
    </row>
    <row r="29" spans="2:12" ht="16.5" customHeight="1">
      <c r="B29" s="136" t="s">
        <v>741</v>
      </c>
      <c r="C29" s="157" t="s">
        <v>742</v>
      </c>
      <c r="D29" s="158" t="s">
        <v>479</v>
      </c>
      <c r="E29" s="157" t="s">
        <v>698</v>
      </c>
      <c r="H29" s="59" t="s">
        <v>647</v>
      </c>
      <c r="I29" s="97" t="s">
        <v>653</v>
      </c>
      <c r="J29" s="121">
        <v>7.9</v>
      </c>
      <c r="K29" s="97" t="s">
        <v>398</v>
      </c>
      <c r="L29" s="59" t="s">
        <v>781</v>
      </c>
    </row>
    <row r="30" spans="2:12" ht="16.5" customHeight="1">
      <c r="B30" s="275" t="s">
        <v>650</v>
      </c>
      <c r="C30" s="175">
        <f>IF(ISBLANK($B30),"",VLOOKUP($B30,$I$3:$K$53,2,FALSE))</f>
        <v>7.25</v>
      </c>
      <c r="D30" s="32" t="str">
        <f>IF(ISBLANK($B30),"",VLOOKUP($B30,$I$3:$K$53,3,FALSE))</f>
        <v>per acre</v>
      </c>
      <c r="E30" s="275">
        <v>2</v>
      </c>
      <c r="H30" s="59" t="s">
        <v>647</v>
      </c>
      <c r="I30" s="97" t="s">
        <v>654</v>
      </c>
      <c r="J30" s="121">
        <v>18.53</v>
      </c>
      <c r="K30" s="97" t="s">
        <v>398</v>
      </c>
      <c r="L30" s="59" t="s">
        <v>781</v>
      </c>
    </row>
    <row r="31" spans="2:12" ht="16.5" customHeight="1">
      <c r="B31" s="275" t="s">
        <v>660</v>
      </c>
      <c r="C31" s="175">
        <f>IF(ISBLANK($B31),"",VLOOKUP($B31,$I$3:$K$53,2,FALSE))</f>
        <v>6.75</v>
      </c>
      <c r="D31" s="32" t="str">
        <f>IF(ISBLANK($B31),"",VLOOKUP($B31,$I$3:$K$53,3,FALSE))</f>
        <v>per acre</v>
      </c>
      <c r="E31" s="275">
        <v>1</v>
      </c>
      <c r="H31" s="59" t="s">
        <v>647</v>
      </c>
      <c r="I31" s="97" t="s">
        <v>655</v>
      </c>
      <c r="J31" s="121">
        <v>27.5</v>
      </c>
      <c r="K31" s="97" t="s">
        <v>656</v>
      </c>
      <c r="L31" s="59" t="s">
        <v>781</v>
      </c>
    </row>
    <row r="32" spans="2:12" ht="16.5" customHeight="1">
      <c r="B32" s="276"/>
      <c r="C32" s="178" t="str">
        <f>IF(ISBLANK(B32),"",VLOOKUP(B32,$I$3:$K$53,2,FALSE))</f>
        <v/>
      </c>
      <c r="D32" s="177" t="str">
        <f>IF(ISBLANK($B32),"",VLOOKUP($B32,$I$3:$K$53,3,FALSE))</f>
        <v/>
      </c>
      <c r="E32" s="276"/>
      <c r="H32" s="59" t="s">
        <v>647</v>
      </c>
      <c r="I32" s="97" t="s">
        <v>657</v>
      </c>
      <c r="J32" s="121">
        <v>8.44</v>
      </c>
      <c r="K32" s="97" t="s">
        <v>398</v>
      </c>
      <c r="L32" s="59" t="s">
        <v>781</v>
      </c>
    </row>
    <row r="33" spans="2:12" ht="16.5" customHeight="1">
      <c r="H33" s="59" t="s">
        <v>647</v>
      </c>
      <c r="I33" s="97" t="s">
        <v>658</v>
      </c>
      <c r="J33" s="121">
        <v>7.71</v>
      </c>
      <c r="K33" s="97" t="s">
        <v>398</v>
      </c>
      <c r="L33" s="59" t="s">
        <v>781</v>
      </c>
    </row>
    <row r="34" spans="2:12" ht="16.5" customHeight="1">
      <c r="B34" s="317" t="s">
        <v>9</v>
      </c>
      <c r="C34" s="317"/>
      <c r="D34" s="317"/>
      <c r="E34" s="317"/>
      <c r="H34" s="59" t="s">
        <v>647</v>
      </c>
      <c r="I34" s="97" t="s">
        <v>659</v>
      </c>
      <c r="J34" s="121">
        <v>7.84</v>
      </c>
      <c r="K34" s="97" t="s">
        <v>398</v>
      </c>
      <c r="L34" s="59" t="s">
        <v>781</v>
      </c>
    </row>
    <row r="35" spans="2:12" ht="16.5" customHeight="1">
      <c r="B35" s="136" t="s">
        <v>741</v>
      </c>
      <c r="C35" s="157" t="s">
        <v>742</v>
      </c>
      <c r="D35" s="158" t="s">
        <v>479</v>
      </c>
      <c r="E35" s="157" t="s">
        <v>698</v>
      </c>
      <c r="H35" s="59" t="s">
        <v>647</v>
      </c>
      <c r="I35" s="97" t="s">
        <v>660</v>
      </c>
      <c r="J35" s="121">
        <v>6.75</v>
      </c>
      <c r="K35" s="97" t="s">
        <v>398</v>
      </c>
      <c r="L35" s="59" t="s">
        <v>781</v>
      </c>
    </row>
    <row r="36" spans="2:12" ht="16.5" customHeight="1">
      <c r="B36" s="275" t="s">
        <v>650</v>
      </c>
      <c r="C36" s="175">
        <f>IF(ISBLANK($B36),"",VLOOKUP($B36,$I$3:$K$53,2,FALSE))</f>
        <v>7.25</v>
      </c>
      <c r="D36" s="32" t="str">
        <f>IF(ISBLANK($B36),"",VLOOKUP($B36,$I$3:$K$53,3,FALSE))</f>
        <v>per acre</v>
      </c>
      <c r="E36" s="275">
        <v>1</v>
      </c>
      <c r="H36" s="59" t="s">
        <v>661</v>
      </c>
      <c r="I36" s="97" t="s">
        <v>662</v>
      </c>
      <c r="J36" s="121">
        <v>43.29</v>
      </c>
      <c r="K36" s="97" t="s">
        <v>398</v>
      </c>
      <c r="L36" s="59" t="s">
        <v>781</v>
      </c>
    </row>
    <row r="37" spans="2:12" ht="16.5" customHeight="1">
      <c r="B37" s="275" t="s">
        <v>761</v>
      </c>
      <c r="C37" s="175">
        <f>IF(ISBLANK($B37),"",VLOOKUP($B37,$I$3:$K$53,2,FALSE))</f>
        <v>6.5</v>
      </c>
      <c r="D37" s="32" t="str">
        <f>IF(ISBLANK($B37),"",VLOOKUP($B37,$I$3:$K$53,3,FALSE))</f>
        <v>per bale</v>
      </c>
      <c r="E37" s="275"/>
      <c r="H37" s="59" t="s">
        <v>661</v>
      </c>
      <c r="I37" s="97" t="s">
        <v>663</v>
      </c>
      <c r="J37" s="121">
        <v>39.42</v>
      </c>
      <c r="K37" s="97" t="s">
        <v>398</v>
      </c>
      <c r="L37" s="59" t="s">
        <v>781</v>
      </c>
    </row>
    <row r="38" spans="2:12" ht="16.5" customHeight="1">
      <c r="B38" s="276"/>
      <c r="C38" s="176" t="str">
        <f>IF(ISBLANK(B38),"",VLOOKUP(B38,$I$3:$K$53,2,FALSE))</f>
        <v/>
      </c>
      <c r="D38" s="177" t="str">
        <f>IF(ISBLANK($B38),"",VLOOKUP($B38,$I$3:$K$53,3,FALSE))</f>
        <v/>
      </c>
      <c r="E38" s="276"/>
      <c r="H38" s="59" t="s">
        <v>661</v>
      </c>
      <c r="I38" s="97" t="s">
        <v>664</v>
      </c>
      <c r="J38" s="121">
        <v>41.13</v>
      </c>
      <c r="K38" s="97" t="s">
        <v>398</v>
      </c>
      <c r="L38" s="59" t="s">
        <v>781</v>
      </c>
    </row>
    <row r="39" spans="2:12" ht="16.5" customHeight="1">
      <c r="H39" s="59" t="s">
        <v>661</v>
      </c>
      <c r="I39" s="97" t="s">
        <v>750</v>
      </c>
      <c r="J39" s="121">
        <v>32.5</v>
      </c>
      <c r="K39" s="97" t="s">
        <v>398</v>
      </c>
      <c r="L39" s="59" t="s">
        <v>781</v>
      </c>
    </row>
    <row r="40" spans="2:12" ht="16.5" customHeight="1">
      <c r="B40" s="317" t="s">
        <v>740</v>
      </c>
      <c r="C40" s="317"/>
      <c r="D40" s="317"/>
      <c r="E40" s="317"/>
      <c r="H40" s="59" t="s">
        <v>661</v>
      </c>
      <c r="I40" s="97" t="s">
        <v>665</v>
      </c>
      <c r="J40" s="121">
        <v>9.8000000000000007</v>
      </c>
      <c r="K40" s="97" t="s">
        <v>398</v>
      </c>
      <c r="L40" s="59" t="s">
        <v>781</v>
      </c>
    </row>
    <row r="41" spans="2:12" ht="16.5" customHeight="1">
      <c r="B41" s="136" t="s">
        <v>741</v>
      </c>
      <c r="C41" s="157" t="s">
        <v>742</v>
      </c>
      <c r="D41" s="158" t="s">
        <v>479</v>
      </c>
      <c r="E41" s="157" t="s">
        <v>698</v>
      </c>
      <c r="H41" s="59" t="s">
        <v>661</v>
      </c>
      <c r="I41" s="97" t="s">
        <v>760</v>
      </c>
      <c r="J41" s="121">
        <v>0.16</v>
      </c>
      <c r="K41" s="97" t="s">
        <v>666</v>
      </c>
      <c r="L41" s="59" t="s">
        <v>781</v>
      </c>
    </row>
    <row r="42" spans="2:12" ht="16.5" customHeight="1">
      <c r="B42" s="275" t="s">
        <v>650</v>
      </c>
      <c r="C42" s="175">
        <f>IF(ISBLANK($B42),"",VLOOKUP($B42,$I$3:$K$53,2,FALSE))</f>
        <v>7.25</v>
      </c>
      <c r="D42" s="32" t="str">
        <f>IF(ISBLANK($B42),"",VLOOKUP($B42,$I$3:$K$53,3,FALSE))</f>
        <v>per acre</v>
      </c>
      <c r="E42" s="275">
        <v>1</v>
      </c>
      <c r="H42" s="59" t="s">
        <v>661</v>
      </c>
      <c r="I42" s="97" t="s">
        <v>759</v>
      </c>
      <c r="J42" s="121">
        <v>0.28999999999999998</v>
      </c>
      <c r="K42" s="97" t="s">
        <v>666</v>
      </c>
      <c r="L42" s="59" t="s">
        <v>781</v>
      </c>
    </row>
    <row r="43" spans="2:12" ht="16.5" customHeight="1">
      <c r="B43" s="275" t="s">
        <v>750</v>
      </c>
      <c r="C43" s="175">
        <f>IF(ISBLANK($B43),"",VLOOKUP($B43,$I$3:$K$53,2,FALSE))</f>
        <v>32.5</v>
      </c>
      <c r="D43" s="32" t="str">
        <f>IF(ISBLANK($B43),"",VLOOKUP($B43,$I$3:$K$53,3,FALSE))</f>
        <v>per acre</v>
      </c>
      <c r="E43" s="275">
        <v>1</v>
      </c>
      <c r="H43" s="59" t="s">
        <v>661</v>
      </c>
      <c r="I43" s="97" t="s">
        <v>759</v>
      </c>
      <c r="J43" s="121">
        <v>4.07</v>
      </c>
      <c r="K43" s="97" t="s">
        <v>667</v>
      </c>
      <c r="L43" s="59" t="s">
        <v>781</v>
      </c>
    </row>
    <row r="44" spans="2:12" ht="16.5" customHeight="1">
      <c r="B44" s="275" t="s">
        <v>759</v>
      </c>
      <c r="C44" s="159">
        <v>0.04</v>
      </c>
      <c r="D44" s="59" t="s">
        <v>758</v>
      </c>
      <c r="E44" s="275"/>
      <c r="H44" s="59" t="s">
        <v>661</v>
      </c>
      <c r="I44" s="97" t="s">
        <v>668</v>
      </c>
      <c r="J44" s="121">
        <v>19</v>
      </c>
      <c r="K44" s="97" t="s">
        <v>398</v>
      </c>
      <c r="L44" s="59" t="s">
        <v>781</v>
      </c>
    </row>
    <row r="45" spans="2:12" ht="16.5" customHeight="1">
      <c r="B45" s="276" t="s">
        <v>761</v>
      </c>
      <c r="C45" s="176">
        <f>IF(ISBLANK($B45),"",VLOOKUP($B45,$I$3:$K$53,2,FALSE))</f>
        <v>6.5</v>
      </c>
      <c r="D45" s="177" t="str">
        <f>IF(ISBLANK($B45),"",VLOOKUP($B45,$I$3:$K$53,3,FALSE))</f>
        <v>per bale</v>
      </c>
      <c r="E45" s="276"/>
      <c r="H45" s="59" t="s">
        <v>661</v>
      </c>
      <c r="I45" s="97" t="s">
        <v>669</v>
      </c>
      <c r="J45" s="121">
        <v>9.25</v>
      </c>
      <c r="K45" s="97" t="s">
        <v>398</v>
      </c>
      <c r="L45" s="59" t="s">
        <v>781</v>
      </c>
    </row>
    <row r="46" spans="2:12" ht="16.5" customHeight="1">
      <c r="H46" s="59" t="s">
        <v>661</v>
      </c>
      <c r="I46" s="97" t="s">
        <v>670</v>
      </c>
      <c r="J46" s="121">
        <v>17.440000000000001</v>
      </c>
      <c r="K46" s="97" t="s">
        <v>671</v>
      </c>
      <c r="L46" s="59" t="s">
        <v>781</v>
      </c>
    </row>
    <row r="47" spans="2:12" ht="16.5" hidden="1" customHeight="1">
      <c r="H47" s="59" t="s">
        <v>661</v>
      </c>
      <c r="I47" s="97" t="s">
        <v>672</v>
      </c>
      <c r="J47" s="121">
        <v>29.86</v>
      </c>
      <c r="K47" s="97" t="s">
        <v>671</v>
      </c>
      <c r="L47" s="59" t="s">
        <v>781</v>
      </c>
    </row>
    <row r="48" spans="2:12" ht="16.5" hidden="1" customHeight="1">
      <c r="H48" s="59" t="s">
        <v>661</v>
      </c>
      <c r="I48" s="97" t="s">
        <v>673</v>
      </c>
      <c r="J48" s="121">
        <v>10</v>
      </c>
      <c r="K48" s="97" t="s">
        <v>671</v>
      </c>
      <c r="L48" s="59" t="s">
        <v>781</v>
      </c>
    </row>
    <row r="49" spans="8:12" ht="16.5" hidden="1" customHeight="1">
      <c r="H49" s="59" t="s">
        <v>661</v>
      </c>
      <c r="I49" s="97" t="s">
        <v>761</v>
      </c>
      <c r="J49" s="121">
        <v>6.5</v>
      </c>
      <c r="K49" s="97" t="s">
        <v>671</v>
      </c>
      <c r="L49" s="59" t="s">
        <v>781</v>
      </c>
    </row>
    <row r="50" spans="8:12" ht="16.5" hidden="1" customHeight="1">
      <c r="H50" s="59" t="s">
        <v>661</v>
      </c>
      <c r="I50" s="97" t="s">
        <v>790</v>
      </c>
      <c r="J50" s="121">
        <v>1.5</v>
      </c>
      <c r="K50" s="97" t="s">
        <v>671</v>
      </c>
      <c r="L50" s="59" t="s">
        <v>792</v>
      </c>
    </row>
    <row r="51" spans="8:12" ht="16.5" hidden="1" customHeight="1">
      <c r="H51" s="59" t="s">
        <v>661</v>
      </c>
      <c r="I51" s="97" t="s">
        <v>791</v>
      </c>
      <c r="J51" s="121">
        <v>0.9</v>
      </c>
      <c r="K51" s="97" t="s">
        <v>671</v>
      </c>
      <c r="L51" s="59" t="s">
        <v>793</v>
      </c>
    </row>
    <row r="52" spans="8:12" ht="16.5" hidden="1" customHeight="1">
      <c r="H52" s="59" t="s">
        <v>661</v>
      </c>
      <c r="I52" s="97" t="s">
        <v>783</v>
      </c>
      <c r="J52" s="121">
        <v>10</v>
      </c>
      <c r="K52" s="97" t="s">
        <v>656</v>
      </c>
      <c r="L52" s="59" t="s">
        <v>782</v>
      </c>
    </row>
    <row r="53" spans="8:12" ht="16.5" hidden="1" customHeight="1">
      <c r="I53" s="60" t="s">
        <v>482</v>
      </c>
      <c r="J53" s="122"/>
      <c r="K53" s="60" t="s">
        <v>398</v>
      </c>
    </row>
    <row r="58" spans="8:12" ht="15" hidden="1" customHeight="1"/>
    <row r="59" spans="8:12" ht="15" hidden="1" customHeight="1"/>
    <row r="60" spans="8:12" ht="15" hidden="1" customHeight="1"/>
    <row r="61" spans="8:12" ht="15" hidden="1" customHeight="1"/>
    <row r="62" spans="8:12" ht="15" hidden="1" customHeight="1"/>
  </sheetData>
  <sheetProtection sheet="1" objects="1" scenarios="1" selectLockedCells="1"/>
  <protectedRanges>
    <protectedRange sqref="B6:B9 B18:B21 B24:B27 B30:B33 B36:B39 E6:E9 B12:E15 E18:E21 E24:E27 E30:E33 E36:E39 B42:B45 E42:E45" name="Grey edit cells"/>
  </protectedRanges>
  <mergeCells count="7">
    <mergeCell ref="B34:E34"/>
    <mergeCell ref="B40:E40"/>
    <mergeCell ref="B4:E4"/>
    <mergeCell ref="B10:E10"/>
    <mergeCell ref="B16:E16"/>
    <mergeCell ref="B22:E22"/>
    <mergeCell ref="B28:E28"/>
  </mergeCells>
  <phoneticPr fontId="15" type="noConversion"/>
  <dataValidations count="1">
    <dataValidation type="list" allowBlank="1" showInputMessage="1" showErrorMessage="1" sqref="B42:B45 B36:B38 B6:B8 B12:B14 B24:B26 B18:B20 B30:B32" xr:uid="{337CEF6C-788D-4CB7-BCE3-15847EC0603B}">
      <formula1>$I$4:$I$53</formula1>
    </dataValidation>
  </dataValidations>
  <pageMargins left="0.7" right="0.7" top="0.75" bottom="0.75" header="0.3" footer="0.3"/>
  <pageSetup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B9992-27EB-4684-B27D-0BCDE5F33BE1}">
  <dimension ref="A1:M41"/>
  <sheetViews>
    <sheetView tabSelected="1" topLeftCell="B1" workbookViewId="0">
      <selection activeCell="E20" sqref="E20"/>
    </sheetView>
  </sheetViews>
  <sheetFormatPr defaultColWidth="0" defaultRowHeight="16.5" zeroHeight="1"/>
  <cols>
    <col min="1" max="1" width="2.625" customWidth="1"/>
    <col min="2" max="2" width="40.375" customWidth="1"/>
    <col min="3" max="3" width="35" customWidth="1"/>
    <col min="4" max="11" width="13.625" customWidth="1"/>
    <col min="12" max="12" width="2.625" customWidth="1"/>
    <col min="13" max="13" width="10.375" hidden="1" customWidth="1"/>
    <col min="14" max="16384" width="9" hidden="1"/>
  </cols>
  <sheetData>
    <row r="1" spans="2:11" ht="20.25">
      <c r="B1" s="305" t="s">
        <v>5</v>
      </c>
      <c r="C1" s="306"/>
      <c r="D1" s="306"/>
      <c r="E1" s="182"/>
      <c r="F1" s="182"/>
      <c r="G1" s="182"/>
      <c r="H1" s="182"/>
      <c r="I1" s="182"/>
      <c r="J1" s="182"/>
      <c r="K1" s="182"/>
    </row>
    <row r="2" spans="2:11">
      <c r="B2" s="300" t="s">
        <v>449</v>
      </c>
      <c r="C2" s="302" t="s">
        <v>12</v>
      </c>
      <c r="D2" s="304" t="s">
        <v>13</v>
      </c>
      <c r="E2" s="304" t="s">
        <v>6</v>
      </c>
      <c r="F2" s="304"/>
      <c r="G2" s="304"/>
      <c r="H2" s="298" t="s">
        <v>7</v>
      </c>
      <c r="I2" s="298" t="s">
        <v>8</v>
      </c>
      <c r="J2" s="298" t="s">
        <v>9</v>
      </c>
      <c r="K2" s="298" t="s">
        <v>10</v>
      </c>
    </row>
    <row r="3" spans="2:11">
      <c r="B3" s="301"/>
      <c r="C3" s="303"/>
      <c r="D3" s="307"/>
      <c r="E3" s="183" t="s">
        <v>14</v>
      </c>
      <c r="F3" s="183" t="s">
        <v>16</v>
      </c>
      <c r="G3" s="183" t="s">
        <v>15</v>
      </c>
      <c r="H3" s="299"/>
      <c r="I3" s="299"/>
      <c r="J3" s="299"/>
      <c r="K3" s="299"/>
    </row>
    <row r="4" spans="2:11" ht="17.25">
      <c r="B4" s="184" t="s">
        <v>11</v>
      </c>
      <c r="C4" s="185"/>
      <c r="D4" s="186"/>
      <c r="E4" s="186"/>
      <c r="F4" s="186"/>
      <c r="G4" s="186"/>
      <c r="H4" s="186"/>
      <c r="I4" s="186"/>
      <c r="J4" s="186"/>
      <c r="K4" s="186"/>
    </row>
    <row r="5" spans="2:11" ht="17.25">
      <c r="B5" s="187" t="s">
        <v>17</v>
      </c>
      <c r="C5" s="32" t="s">
        <v>762</v>
      </c>
      <c r="D5" s="188"/>
      <c r="E5" s="34">
        <v>66</v>
      </c>
      <c r="F5" s="34">
        <v>150</v>
      </c>
      <c r="G5" s="34">
        <v>9</v>
      </c>
      <c r="H5" s="34">
        <v>18</v>
      </c>
      <c r="I5" s="189"/>
      <c r="J5" s="34">
        <v>3</v>
      </c>
      <c r="K5" s="34">
        <v>3</v>
      </c>
    </row>
    <row r="6" spans="2:11" ht="17.25">
      <c r="B6" s="187" t="s">
        <v>788</v>
      </c>
      <c r="C6" s="32" t="s">
        <v>454</v>
      </c>
      <c r="D6" s="188"/>
      <c r="E6" s="33">
        <v>9</v>
      </c>
      <c r="F6" s="33">
        <v>9</v>
      </c>
      <c r="G6" s="33">
        <v>112.8</v>
      </c>
      <c r="H6" s="33">
        <v>48</v>
      </c>
      <c r="I6" s="189"/>
      <c r="J6" s="33">
        <v>100</v>
      </c>
      <c r="K6" s="33">
        <v>100</v>
      </c>
    </row>
    <row r="7" spans="2:11" ht="17.25">
      <c r="B7" s="187" t="s">
        <v>18</v>
      </c>
      <c r="C7" s="32" t="s">
        <v>450</v>
      </c>
      <c r="D7" s="188"/>
      <c r="E7" s="190"/>
      <c r="F7" s="189"/>
      <c r="G7" s="189"/>
      <c r="H7" s="189"/>
      <c r="I7" s="189"/>
      <c r="J7" s="189"/>
      <c r="K7" s="36">
        <v>300</v>
      </c>
    </row>
    <row r="8" spans="2:11" ht="17.25">
      <c r="B8" s="187" t="s">
        <v>430</v>
      </c>
      <c r="C8" s="32" t="s">
        <v>451</v>
      </c>
      <c r="D8" s="188"/>
      <c r="E8" s="190"/>
      <c r="F8" s="189"/>
      <c r="G8" s="189"/>
      <c r="H8" s="189"/>
      <c r="I8" s="189"/>
      <c r="J8" s="189"/>
      <c r="K8" s="33">
        <v>0.75</v>
      </c>
    </row>
    <row r="9" spans="2:11" ht="17.25">
      <c r="B9" s="187" t="s">
        <v>421</v>
      </c>
      <c r="C9" s="32" t="s">
        <v>452</v>
      </c>
      <c r="D9" s="188"/>
      <c r="E9" s="190"/>
      <c r="F9" s="189"/>
      <c r="G9" s="189"/>
      <c r="H9" s="189"/>
      <c r="I9" s="37">
        <v>2</v>
      </c>
      <c r="J9" s="37">
        <v>1</v>
      </c>
      <c r="K9" s="38">
        <v>1</v>
      </c>
    </row>
    <row r="10" spans="2:11" ht="17.25">
      <c r="B10" s="187" t="s">
        <v>478</v>
      </c>
      <c r="C10" s="32" t="s">
        <v>453</v>
      </c>
      <c r="D10" s="188"/>
      <c r="E10" s="190"/>
      <c r="F10" s="189"/>
      <c r="G10" s="189"/>
      <c r="H10" s="189"/>
      <c r="I10" s="33">
        <v>18</v>
      </c>
      <c r="J10" s="33">
        <v>18</v>
      </c>
      <c r="K10" s="33">
        <v>18</v>
      </c>
    </row>
    <row r="11" spans="2:11" ht="17.25">
      <c r="B11" s="187"/>
      <c r="C11" s="32"/>
      <c r="D11" s="188"/>
      <c r="E11" s="190"/>
      <c r="F11" s="189"/>
      <c r="G11" s="189"/>
      <c r="H11" s="189"/>
      <c r="I11" s="189"/>
      <c r="J11" s="188"/>
      <c r="K11" s="188"/>
    </row>
    <row r="12" spans="2:11" ht="17.25">
      <c r="B12" s="184" t="s">
        <v>459</v>
      </c>
      <c r="C12" s="32"/>
      <c r="D12" s="188"/>
      <c r="E12" s="188"/>
      <c r="F12" s="188"/>
      <c r="G12" s="188"/>
      <c r="H12" s="188"/>
      <c r="I12" s="188"/>
      <c r="J12" s="188"/>
      <c r="K12" s="188"/>
    </row>
    <row r="13" spans="2:11" ht="17.25">
      <c r="B13" s="187" t="s">
        <v>19</v>
      </c>
      <c r="C13" s="32" t="s">
        <v>764</v>
      </c>
      <c r="D13" s="188"/>
      <c r="E13" s="39">
        <v>15</v>
      </c>
      <c r="F13" s="188" t="s">
        <v>20</v>
      </c>
      <c r="G13" s="188" t="s">
        <v>20</v>
      </c>
      <c r="H13" s="40">
        <v>30000</v>
      </c>
      <c r="I13" s="188"/>
      <c r="J13" s="188" t="s">
        <v>20</v>
      </c>
      <c r="K13" s="188" t="s">
        <v>20</v>
      </c>
    </row>
    <row r="14" spans="2:11" ht="17.25">
      <c r="B14" s="191" t="s">
        <v>797</v>
      </c>
      <c r="C14" s="32" t="s">
        <v>763</v>
      </c>
      <c r="D14" s="188"/>
      <c r="E14" s="192"/>
      <c r="F14" s="188"/>
      <c r="G14" s="188"/>
      <c r="H14" s="188"/>
      <c r="I14" s="39">
        <v>10</v>
      </c>
      <c r="J14" s="188"/>
      <c r="K14" s="188"/>
    </row>
    <row r="15" spans="2:11" ht="17.25">
      <c r="B15" s="191" t="s">
        <v>798</v>
      </c>
      <c r="C15" s="32" t="s">
        <v>763</v>
      </c>
      <c r="D15" s="188"/>
      <c r="E15" s="192"/>
      <c r="F15" s="188"/>
      <c r="G15" s="188"/>
      <c r="H15" s="188"/>
      <c r="I15" s="39">
        <v>8</v>
      </c>
      <c r="J15" s="188"/>
      <c r="K15" s="188"/>
    </row>
    <row r="16" spans="2:11" ht="17.25">
      <c r="B16" s="187" t="s">
        <v>795</v>
      </c>
      <c r="C16" s="32" t="s">
        <v>796</v>
      </c>
      <c r="D16" s="188"/>
      <c r="E16" s="33">
        <v>8.75</v>
      </c>
      <c r="F16" s="189" t="s">
        <v>20</v>
      </c>
      <c r="G16" s="188" t="s">
        <v>20</v>
      </c>
      <c r="H16" s="33">
        <v>255</v>
      </c>
      <c r="I16" s="188"/>
      <c r="J16" s="188" t="s">
        <v>20</v>
      </c>
      <c r="K16" s="188" t="s">
        <v>20</v>
      </c>
    </row>
    <row r="17" spans="2:11" ht="17.25">
      <c r="B17" s="191" t="s">
        <v>799</v>
      </c>
      <c r="C17" s="32" t="s">
        <v>794</v>
      </c>
      <c r="D17" s="188"/>
      <c r="E17" s="190"/>
      <c r="F17" s="189"/>
      <c r="G17" s="188"/>
      <c r="H17" s="193"/>
      <c r="I17" s="33">
        <v>2</v>
      </c>
      <c r="J17" s="193"/>
      <c r="K17" s="193"/>
    </row>
    <row r="18" spans="2:11" ht="17.25">
      <c r="B18" s="191" t="s">
        <v>798</v>
      </c>
      <c r="C18" s="32" t="s">
        <v>794</v>
      </c>
      <c r="D18" s="188"/>
      <c r="E18" s="190"/>
      <c r="F18" s="189"/>
      <c r="G18" s="188"/>
      <c r="H18" s="193"/>
      <c r="I18" s="33">
        <v>3</v>
      </c>
      <c r="J18" s="193"/>
      <c r="K18" s="193"/>
    </row>
    <row r="19" spans="2:11" ht="17.25">
      <c r="B19" s="187" t="s">
        <v>35</v>
      </c>
      <c r="C19" s="32" t="s">
        <v>455</v>
      </c>
      <c r="D19" s="188"/>
      <c r="E19" s="190"/>
      <c r="F19" s="189"/>
      <c r="G19" s="188"/>
      <c r="H19" s="39">
        <v>184</v>
      </c>
      <c r="I19" s="39">
        <v>30</v>
      </c>
      <c r="J19" s="39">
        <v>60</v>
      </c>
      <c r="K19" s="39">
        <v>70</v>
      </c>
    </row>
    <row r="20" spans="2:11" ht="17.25">
      <c r="B20" s="187" t="s">
        <v>21</v>
      </c>
      <c r="C20" s="32" t="s">
        <v>456</v>
      </c>
      <c r="D20" s="188"/>
      <c r="E20" s="39">
        <v>70</v>
      </c>
      <c r="F20" s="39">
        <v>70</v>
      </c>
      <c r="G20" s="39">
        <v>70</v>
      </c>
      <c r="H20" s="39">
        <v>59</v>
      </c>
      <c r="I20" s="39">
        <v>35</v>
      </c>
      <c r="J20" s="39">
        <v>46</v>
      </c>
      <c r="K20" s="39">
        <v>30</v>
      </c>
    </row>
    <row r="21" spans="2:11" ht="17.25">
      <c r="B21" s="187" t="s">
        <v>22</v>
      </c>
      <c r="C21" s="32" t="s">
        <v>457</v>
      </c>
      <c r="D21" s="188"/>
      <c r="E21" s="39">
        <v>50</v>
      </c>
      <c r="F21" s="39">
        <v>200</v>
      </c>
      <c r="G21" s="39">
        <v>200</v>
      </c>
      <c r="H21" s="39">
        <v>139</v>
      </c>
      <c r="I21" s="39">
        <v>45</v>
      </c>
      <c r="J21" s="39">
        <v>60</v>
      </c>
      <c r="K21" s="39">
        <v>100</v>
      </c>
    </row>
    <row r="22" spans="2:11" ht="17.25">
      <c r="B22" s="187" t="s">
        <v>23</v>
      </c>
      <c r="C22" s="32" t="s">
        <v>765</v>
      </c>
      <c r="D22" s="188"/>
      <c r="E22" s="39">
        <v>3</v>
      </c>
      <c r="F22" s="39">
        <v>0</v>
      </c>
      <c r="G22" s="39">
        <v>0</v>
      </c>
      <c r="H22" s="39">
        <v>0.5</v>
      </c>
      <c r="I22" s="39">
        <v>1</v>
      </c>
      <c r="J22" s="39">
        <v>0.5</v>
      </c>
      <c r="K22" s="39">
        <v>0.5</v>
      </c>
    </row>
    <row r="23" spans="2:11" ht="17.25">
      <c r="B23" s="187" t="s">
        <v>771</v>
      </c>
      <c r="C23" s="32" t="s">
        <v>766</v>
      </c>
      <c r="D23" s="188"/>
      <c r="E23" s="39">
        <v>1.25</v>
      </c>
      <c r="F23" s="39">
        <v>1</v>
      </c>
      <c r="G23" s="39">
        <v>0.5</v>
      </c>
      <c r="H23" s="39">
        <v>0.5</v>
      </c>
      <c r="I23" s="39">
        <v>1</v>
      </c>
      <c r="J23" s="39">
        <v>0.5</v>
      </c>
      <c r="K23" s="39">
        <v>0.75</v>
      </c>
    </row>
    <row r="24" spans="2:11" ht="17.25">
      <c r="B24" s="187" t="s">
        <v>24</v>
      </c>
      <c r="C24" s="32" t="s">
        <v>458</v>
      </c>
      <c r="D24" s="35">
        <v>0.09</v>
      </c>
      <c r="E24" s="194"/>
      <c r="F24" s="195"/>
      <c r="G24" s="195"/>
      <c r="H24" s="196"/>
      <c r="I24" s="197"/>
      <c r="J24" s="196"/>
      <c r="K24" s="195"/>
    </row>
    <row r="25" spans="2:11" ht="17.25">
      <c r="B25" s="187" t="s">
        <v>757</v>
      </c>
      <c r="C25" s="32" t="s">
        <v>450</v>
      </c>
      <c r="D25" s="188"/>
      <c r="E25" s="40">
        <v>60</v>
      </c>
      <c r="F25" s="40">
        <v>60</v>
      </c>
      <c r="G25" s="40">
        <v>2000</v>
      </c>
      <c r="H25" s="196"/>
      <c r="I25" s="196"/>
      <c r="J25" s="40">
        <v>1600</v>
      </c>
      <c r="K25" s="40">
        <v>1600</v>
      </c>
    </row>
    <row r="26" spans="2:11" ht="17.25">
      <c r="B26" s="187"/>
      <c r="C26" s="32"/>
      <c r="D26" s="194"/>
      <c r="E26" s="194"/>
      <c r="F26" s="195"/>
      <c r="G26" s="195"/>
      <c r="H26" s="196"/>
      <c r="I26" s="197"/>
      <c r="J26" s="196"/>
      <c r="K26" s="195"/>
    </row>
    <row r="27" spans="2:11" ht="17.25">
      <c r="B27" s="184" t="s">
        <v>775</v>
      </c>
      <c r="C27" s="32"/>
      <c r="D27" s="194"/>
      <c r="E27" s="194"/>
      <c r="F27" s="195"/>
      <c r="G27" s="195"/>
      <c r="H27" s="196"/>
      <c r="I27" s="197"/>
      <c r="J27" s="196"/>
      <c r="K27" s="195"/>
    </row>
    <row r="28" spans="2:11" ht="17.25">
      <c r="B28" s="187" t="s">
        <v>394</v>
      </c>
      <c r="C28" s="32" t="s">
        <v>461</v>
      </c>
      <c r="D28" s="33">
        <v>17.309999999999999</v>
      </c>
      <c r="E28" s="198"/>
      <c r="F28" s="188"/>
      <c r="G28" s="188"/>
      <c r="H28" s="189"/>
      <c r="I28" s="189"/>
      <c r="J28" s="189"/>
      <c r="K28" s="189"/>
    </row>
    <row r="29" spans="2:11" ht="17.25">
      <c r="B29" s="187" t="s">
        <v>418</v>
      </c>
      <c r="C29" s="32" t="s">
        <v>462</v>
      </c>
      <c r="D29" s="33">
        <v>4</v>
      </c>
      <c r="E29" s="198"/>
      <c r="F29" s="188"/>
      <c r="G29" s="188"/>
      <c r="H29" s="189"/>
      <c r="I29" s="189"/>
      <c r="J29" s="189"/>
      <c r="K29" s="189"/>
    </row>
    <row r="30" spans="2:11" ht="17.25">
      <c r="B30" s="187" t="s">
        <v>25</v>
      </c>
      <c r="C30" s="32" t="s">
        <v>464</v>
      </c>
      <c r="D30" s="33">
        <v>0.6</v>
      </c>
      <c r="E30" s="192"/>
      <c r="F30" s="188"/>
      <c r="G30" s="188"/>
      <c r="H30" s="39">
        <v>0.46</v>
      </c>
      <c r="I30" s="189"/>
      <c r="J30" s="189"/>
      <c r="K30" s="189"/>
    </row>
    <row r="31" spans="2:11" ht="17.25">
      <c r="B31" s="187" t="s">
        <v>21</v>
      </c>
      <c r="C31" s="32" t="s">
        <v>465</v>
      </c>
      <c r="D31" s="33">
        <v>0.62</v>
      </c>
      <c r="E31" s="190"/>
      <c r="F31" s="189"/>
      <c r="G31" s="189"/>
      <c r="H31" s="189"/>
      <c r="I31" s="189"/>
      <c r="J31" s="189"/>
      <c r="K31" s="189"/>
    </row>
    <row r="32" spans="2:11" ht="17.25">
      <c r="B32" s="187" t="s">
        <v>22</v>
      </c>
      <c r="C32" s="32" t="s">
        <v>466</v>
      </c>
      <c r="D32" s="33">
        <v>0.41</v>
      </c>
      <c r="E32" s="190"/>
      <c r="F32" s="189"/>
      <c r="G32" s="189"/>
      <c r="H32" s="189"/>
      <c r="I32" s="189"/>
      <c r="J32" s="189"/>
      <c r="K32" s="189"/>
    </row>
    <row r="33" spans="2:11" ht="17.25">
      <c r="B33" s="187" t="s">
        <v>787</v>
      </c>
      <c r="C33" s="32" t="s">
        <v>463</v>
      </c>
      <c r="D33" s="33">
        <v>27.5</v>
      </c>
      <c r="E33" s="190"/>
      <c r="F33" s="199"/>
      <c r="G33" s="189"/>
      <c r="H33" s="189"/>
      <c r="I33" s="189"/>
      <c r="J33" s="189"/>
      <c r="K33" s="189"/>
    </row>
    <row r="34" spans="2:11" ht="17.25">
      <c r="B34" s="187" t="s">
        <v>429</v>
      </c>
      <c r="C34" s="32" t="s">
        <v>460</v>
      </c>
      <c r="D34" s="188"/>
      <c r="E34" s="53">
        <v>62.490156249999998</v>
      </c>
      <c r="F34" s="53">
        <v>62.490156249999998</v>
      </c>
      <c r="G34" s="53">
        <v>62.490156249999998</v>
      </c>
      <c r="H34" s="53">
        <v>72.63</v>
      </c>
      <c r="I34" s="53">
        <v>20.48</v>
      </c>
      <c r="J34" s="53">
        <v>0</v>
      </c>
      <c r="K34" s="53" t="s">
        <v>26</v>
      </c>
    </row>
    <row r="35" spans="2:11" ht="17.25">
      <c r="B35" s="187"/>
      <c r="C35" s="32"/>
      <c r="D35" s="188"/>
      <c r="E35" s="188"/>
      <c r="F35" s="188"/>
      <c r="G35" s="188"/>
      <c r="H35" s="188"/>
      <c r="I35" s="188"/>
      <c r="J35" s="188"/>
      <c r="K35" s="188"/>
    </row>
    <row r="36" spans="2:11" ht="17.25">
      <c r="B36" s="184" t="s">
        <v>27</v>
      </c>
      <c r="C36" s="32"/>
      <c r="D36" s="188"/>
      <c r="E36" s="188"/>
      <c r="F36" s="188"/>
      <c r="G36" s="188"/>
      <c r="H36" s="188"/>
      <c r="I36" s="188"/>
      <c r="J36" s="188"/>
      <c r="K36" s="188"/>
    </row>
    <row r="37" spans="2:11" ht="17.25">
      <c r="B37" s="187" t="s">
        <v>28</v>
      </c>
      <c r="C37" s="32" t="s">
        <v>460</v>
      </c>
      <c r="D37" s="188"/>
      <c r="E37" s="33">
        <v>21.66</v>
      </c>
      <c r="F37" s="33">
        <v>21.66</v>
      </c>
      <c r="G37" s="33">
        <v>21.66</v>
      </c>
      <c r="H37" s="33">
        <v>29.68</v>
      </c>
      <c r="I37" s="33">
        <v>8.84</v>
      </c>
      <c r="J37" s="33">
        <v>21.66</v>
      </c>
      <c r="K37" s="33">
        <v>8.84</v>
      </c>
    </row>
    <row r="38" spans="2:11" ht="17.25">
      <c r="B38" s="187" t="s">
        <v>44</v>
      </c>
      <c r="C38" s="32" t="s">
        <v>460</v>
      </c>
      <c r="D38" s="188"/>
      <c r="E38" s="33">
        <v>120.71654367273331</v>
      </c>
      <c r="F38" s="33">
        <v>120.71654367273331</v>
      </c>
      <c r="G38" s="33">
        <v>120.71654367273331</v>
      </c>
      <c r="H38" s="33">
        <v>155.20698472208568</v>
      </c>
      <c r="I38" s="33">
        <v>39.042845117845125</v>
      </c>
      <c r="J38" s="33">
        <v>39.042845117845125</v>
      </c>
      <c r="K38" s="33">
        <v>39.042845117845125</v>
      </c>
    </row>
    <row r="39" spans="2:11" hidden="1">
      <c r="D39" s="186"/>
      <c r="E39" s="186"/>
      <c r="F39" s="186"/>
      <c r="G39" s="186"/>
      <c r="H39" s="200"/>
      <c r="I39" s="186"/>
      <c r="J39" s="186"/>
      <c r="K39" s="186"/>
    </row>
    <row r="40" spans="2:11" hidden="1">
      <c r="D40" s="186"/>
      <c r="E40" s="186"/>
      <c r="F40" s="186"/>
      <c r="G40" s="186"/>
      <c r="H40" s="186"/>
      <c r="I40" s="186"/>
      <c r="J40" s="186"/>
      <c r="K40" s="186"/>
    </row>
    <row r="41" spans="2:11" hidden="1">
      <c r="H41" s="186"/>
    </row>
  </sheetData>
  <sheetProtection sheet="1"/>
  <protectedRanges>
    <protectedRange sqref="E5:H6 J5:K6 K7:K10 I9:J10 H13 E13 E16 H16 I14:I15 I17:I19 H19 J19:K19 E20:K23 D24 E25:G25 J25:K25 H30 D28:D33 E34:K34 E37:K38" name="Grey edit cells"/>
  </protectedRanges>
  <mergeCells count="9">
    <mergeCell ref="K2:K3"/>
    <mergeCell ref="B2:B3"/>
    <mergeCell ref="C2:C3"/>
    <mergeCell ref="E2:G2"/>
    <mergeCell ref="B1:D1"/>
    <mergeCell ref="H2:H3"/>
    <mergeCell ref="I2:I3"/>
    <mergeCell ref="J2:J3"/>
    <mergeCell ref="D2:D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69E962-2BDC-4021-A43F-4D624F7F9A46}">
  <dimension ref="A1:WVP1076"/>
  <sheetViews>
    <sheetView workbookViewId="0">
      <selection activeCell="F19" sqref="F19"/>
    </sheetView>
  </sheetViews>
  <sheetFormatPr defaultColWidth="0" defaultRowHeight="16.5" zeroHeight="1"/>
  <cols>
    <col min="1" max="1" width="2.625" style="1" customWidth="1"/>
    <col min="2" max="2" width="38.875" style="1" customWidth="1"/>
    <col min="3" max="3" width="10.875" style="1" customWidth="1"/>
    <col min="4" max="4" width="7.125" style="1" customWidth="1"/>
    <col min="5" max="5" width="12.125" style="1" customWidth="1"/>
    <col min="6" max="6" width="13.25" style="1" bestFit="1" customWidth="1"/>
    <col min="7" max="7" width="11.75" style="1" customWidth="1"/>
    <col min="8" max="8" width="11.875" style="1" customWidth="1"/>
    <col min="9" max="9" width="9" style="1" hidden="1"/>
    <col min="10" max="257" width="8" style="1" hidden="1"/>
    <col min="258" max="258" width="28.125" style="1" hidden="1"/>
    <col min="259" max="259" width="8.125" style="1" hidden="1"/>
    <col min="260" max="260" width="9.125" style="1" hidden="1"/>
    <col min="261" max="261" width="9.75" style="1" hidden="1"/>
    <col min="262" max="262" width="11.125" style="1" hidden="1"/>
    <col min="263" max="263" width="10.375" style="1" hidden="1"/>
    <col min="264" max="264" width="10.5" style="1" hidden="1"/>
    <col min="265" max="513" width="8" style="1" hidden="1"/>
    <col min="514" max="514" width="28.125" style="1" hidden="1"/>
    <col min="515" max="515" width="8.125" style="1" hidden="1"/>
    <col min="516" max="516" width="9.125" style="1" hidden="1"/>
    <col min="517" max="517" width="9.75" style="1" hidden="1"/>
    <col min="518" max="518" width="11.125" style="1" hidden="1"/>
    <col min="519" max="519" width="10.375" style="1" hidden="1"/>
    <col min="520" max="520" width="10.5" style="1" hidden="1"/>
    <col min="521" max="769" width="8" style="1" hidden="1"/>
    <col min="770" max="770" width="28.125" style="1" hidden="1"/>
    <col min="771" max="771" width="8.125" style="1" hidden="1"/>
    <col min="772" max="772" width="9.125" style="1" hidden="1"/>
    <col min="773" max="773" width="9.75" style="1" hidden="1"/>
    <col min="774" max="774" width="11.125" style="1" hidden="1"/>
    <col min="775" max="775" width="10.375" style="1" hidden="1"/>
    <col min="776" max="776" width="10.5" style="1" hidden="1"/>
    <col min="777" max="1025" width="9" style="1" hidden="1"/>
    <col min="1026" max="1026" width="28.125" style="1" hidden="1"/>
    <col min="1027" max="1027" width="8.125" style="1" hidden="1"/>
    <col min="1028" max="1028" width="9.125" style="1" hidden="1"/>
    <col min="1029" max="1029" width="9.75" style="1" hidden="1"/>
    <col min="1030" max="1030" width="11.125" style="1" hidden="1"/>
    <col min="1031" max="1031" width="10.375" style="1" hidden="1"/>
    <col min="1032" max="1032" width="10.5" style="1" hidden="1"/>
    <col min="1033" max="1281" width="8" style="1" hidden="1"/>
    <col min="1282" max="1282" width="28.125" style="1" hidden="1"/>
    <col min="1283" max="1283" width="8.125" style="1" hidden="1"/>
    <col min="1284" max="1284" width="9.125" style="1" hidden="1"/>
    <col min="1285" max="1285" width="9.75" style="1" hidden="1"/>
    <col min="1286" max="1286" width="11.125" style="1" hidden="1"/>
    <col min="1287" max="1287" width="10.375" style="1" hidden="1"/>
    <col min="1288" max="1288" width="10.5" style="1" hidden="1"/>
    <col min="1289" max="1537" width="8" style="1" hidden="1"/>
    <col min="1538" max="1538" width="28.125" style="1" hidden="1"/>
    <col min="1539" max="1539" width="8.125" style="1" hidden="1"/>
    <col min="1540" max="1540" width="9.125" style="1" hidden="1"/>
    <col min="1541" max="1541" width="9.75" style="1" hidden="1"/>
    <col min="1542" max="1542" width="11.125" style="1" hidden="1"/>
    <col min="1543" max="1543" width="10.375" style="1" hidden="1"/>
    <col min="1544" max="1544" width="10.5" style="1" hidden="1"/>
    <col min="1545" max="1793" width="8" style="1" hidden="1"/>
    <col min="1794" max="1794" width="28.125" style="1" hidden="1"/>
    <col min="1795" max="1795" width="8.125" style="1" hidden="1"/>
    <col min="1796" max="1796" width="9.125" style="1" hidden="1"/>
    <col min="1797" max="1797" width="9.75" style="1" hidden="1"/>
    <col min="1798" max="1798" width="11.125" style="1" hidden="1"/>
    <col min="1799" max="1799" width="10.375" style="1" hidden="1"/>
    <col min="1800" max="1800" width="10.5" style="1" hidden="1"/>
    <col min="1801" max="2049" width="9" style="1" hidden="1"/>
    <col min="2050" max="2050" width="28.125" style="1" hidden="1"/>
    <col min="2051" max="2051" width="8.125" style="1" hidden="1"/>
    <col min="2052" max="2052" width="9.125" style="1" hidden="1"/>
    <col min="2053" max="2053" width="9.75" style="1" hidden="1"/>
    <col min="2054" max="2054" width="11.125" style="1" hidden="1"/>
    <col min="2055" max="2055" width="10.375" style="1" hidden="1"/>
    <col min="2056" max="2056" width="10.5" style="1" hidden="1"/>
    <col min="2057" max="2305" width="8" style="1" hidden="1"/>
    <col min="2306" max="2306" width="28.125" style="1" hidden="1"/>
    <col min="2307" max="2307" width="8.125" style="1" hidden="1"/>
    <col min="2308" max="2308" width="9.125" style="1" hidden="1"/>
    <col min="2309" max="2309" width="9.75" style="1" hidden="1"/>
    <col min="2310" max="2310" width="11.125" style="1" hidden="1"/>
    <col min="2311" max="2311" width="10.375" style="1" hidden="1"/>
    <col min="2312" max="2312" width="10.5" style="1" hidden="1"/>
    <col min="2313" max="2561" width="8" style="1" hidden="1"/>
    <col min="2562" max="2562" width="28.125" style="1" hidden="1"/>
    <col min="2563" max="2563" width="8.125" style="1" hidden="1"/>
    <col min="2564" max="2564" width="9.125" style="1" hidden="1"/>
    <col min="2565" max="2565" width="9.75" style="1" hidden="1"/>
    <col min="2566" max="2566" width="11.125" style="1" hidden="1"/>
    <col min="2567" max="2567" width="10.375" style="1" hidden="1"/>
    <col min="2568" max="2568" width="10.5" style="1" hidden="1"/>
    <col min="2569" max="2817" width="8" style="1" hidden="1"/>
    <col min="2818" max="2818" width="28.125" style="1" hidden="1"/>
    <col min="2819" max="2819" width="8.125" style="1" hidden="1"/>
    <col min="2820" max="2820" width="9.125" style="1" hidden="1"/>
    <col min="2821" max="2821" width="9.75" style="1" hidden="1"/>
    <col min="2822" max="2822" width="11.125" style="1" hidden="1"/>
    <col min="2823" max="2823" width="10.375" style="1" hidden="1"/>
    <col min="2824" max="2824" width="10.5" style="1" hidden="1"/>
    <col min="2825" max="3073" width="9" style="1" hidden="1"/>
    <col min="3074" max="3074" width="28.125" style="1" hidden="1"/>
    <col min="3075" max="3075" width="8.125" style="1" hidden="1"/>
    <col min="3076" max="3076" width="9.125" style="1" hidden="1"/>
    <col min="3077" max="3077" width="9.75" style="1" hidden="1"/>
    <col min="3078" max="3078" width="11.125" style="1" hidden="1"/>
    <col min="3079" max="3079" width="10.375" style="1" hidden="1"/>
    <col min="3080" max="3080" width="10.5" style="1" hidden="1"/>
    <col min="3081" max="3329" width="8" style="1" hidden="1"/>
    <col min="3330" max="3330" width="28.125" style="1" hidden="1"/>
    <col min="3331" max="3331" width="8.125" style="1" hidden="1"/>
    <col min="3332" max="3332" width="9.125" style="1" hidden="1"/>
    <col min="3333" max="3333" width="9.75" style="1" hidden="1"/>
    <col min="3334" max="3334" width="11.125" style="1" hidden="1"/>
    <col min="3335" max="3335" width="10.375" style="1" hidden="1"/>
    <col min="3336" max="3336" width="10.5" style="1" hidden="1"/>
    <col min="3337" max="3585" width="8" style="1" hidden="1"/>
    <col min="3586" max="3586" width="28.125" style="1" hidden="1"/>
    <col min="3587" max="3587" width="8.125" style="1" hidden="1"/>
    <col min="3588" max="3588" width="9.125" style="1" hidden="1"/>
    <col min="3589" max="3589" width="9.75" style="1" hidden="1"/>
    <col min="3590" max="3590" width="11.125" style="1" hidden="1"/>
    <col min="3591" max="3591" width="10.375" style="1" hidden="1"/>
    <col min="3592" max="3592" width="10.5" style="1" hidden="1"/>
    <col min="3593" max="3841" width="8" style="1" hidden="1"/>
    <col min="3842" max="3842" width="28.125" style="1" hidden="1"/>
    <col min="3843" max="3843" width="8.125" style="1" hidden="1"/>
    <col min="3844" max="3844" width="9.125" style="1" hidden="1"/>
    <col min="3845" max="3845" width="9.75" style="1" hidden="1"/>
    <col min="3846" max="3846" width="11.125" style="1" hidden="1"/>
    <col min="3847" max="3847" width="10.375" style="1" hidden="1"/>
    <col min="3848" max="3848" width="10.5" style="1" hidden="1"/>
    <col min="3849" max="4097" width="9" style="1" hidden="1"/>
    <col min="4098" max="4098" width="28.125" style="1" hidden="1"/>
    <col min="4099" max="4099" width="8.125" style="1" hidden="1"/>
    <col min="4100" max="4100" width="9.125" style="1" hidden="1"/>
    <col min="4101" max="4101" width="9.75" style="1" hidden="1"/>
    <col min="4102" max="4102" width="11.125" style="1" hidden="1"/>
    <col min="4103" max="4103" width="10.375" style="1" hidden="1"/>
    <col min="4104" max="4104" width="10.5" style="1" hidden="1"/>
    <col min="4105" max="4353" width="8" style="1" hidden="1"/>
    <col min="4354" max="4354" width="28.125" style="1" hidden="1"/>
    <col min="4355" max="4355" width="8.125" style="1" hidden="1"/>
    <col min="4356" max="4356" width="9.125" style="1" hidden="1"/>
    <col min="4357" max="4357" width="9.75" style="1" hidden="1"/>
    <col min="4358" max="4358" width="11.125" style="1" hidden="1"/>
    <col min="4359" max="4359" width="10.375" style="1" hidden="1"/>
    <col min="4360" max="4360" width="10.5" style="1" hidden="1"/>
    <col min="4361" max="4609" width="8" style="1" hidden="1"/>
    <col min="4610" max="4610" width="28.125" style="1" hidden="1"/>
    <col min="4611" max="4611" width="8.125" style="1" hidden="1"/>
    <col min="4612" max="4612" width="9.125" style="1" hidden="1"/>
    <col min="4613" max="4613" width="9.75" style="1" hidden="1"/>
    <col min="4614" max="4614" width="11.125" style="1" hidden="1"/>
    <col min="4615" max="4615" width="10.375" style="1" hidden="1"/>
    <col min="4616" max="4616" width="10.5" style="1" hidden="1"/>
    <col min="4617" max="4865" width="8" style="1" hidden="1"/>
    <col min="4866" max="4866" width="28.125" style="1" hidden="1"/>
    <col min="4867" max="4867" width="8.125" style="1" hidden="1"/>
    <col min="4868" max="4868" width="9.125" style="1" hidden="1"/>
    <col min="4869" max="4869" width="9.75" style="1" hidden="1"/>
    <col min="4870" max="4870" width="11.125" style="1" hidden="1"/>
    <col min="4871" max="4871" width="10.375" style="1" hidden="1"/>
    <col min="4872" max="4872" width="10.5" style="1" hidden="1"/>
    <col min="4873" max="5121" width="9" style="1" hidden="1"/>
    <col min="5122" max="5122" width="28.125" style="1" hidden="1"/>
    <col min="5123" max="5123" width="8.125" style="1" hidden="1"/>
    <col min="5124" max="5124" width="9.125" style="1" hidden="1"/>
    <col min="5125" max="5125" width="9.75" style="1" hidden="1"/>
    <col min="5126" max="5126" width="11.125" style="1" hidden="1"/>
    <col min="5127" max="5127" width="10.375" style="1" hidden="1"/>
    <col min="5128" max="5128" width="10.5" style="1" hidden="1"/>
    <col min="5129" max="5377" width="8" style="1" hidden="1"/>
    <col min="5378" max="5378" width="28.125" style="1" hidden="1"/>
    <col min="5379" max="5379" width="8.125" style="1" hidden="1"/>
    <col min="5380" max="5380" width="9.125" style="1" hidden="1"/>
    <col min="5381" max="5381" width="9.75" style="1" hidden="1"/>
    <col min="5382" max="5382" width="11.125" style="1" hidden="1"/>
    <col min="5383" max="5383" width="10.375" style="1" hidden="1"/>
    <col min="5384" max="5384" width="10.5" style="1" hidden="1"/>
    <col min="5385" max="5633" width="8" style="1" hidden="1"/>
    <col min="5634" max="5634" width="28.125" style="1" hidden="1"/>
    <col min="5635" max="5635" width="8.125" style="1" hidden="1"/>
    <col min="5636" max="5636" width="9.125" style="1" hidden="1"/>
    <col min="5637" max="5637" width="9.75" style="1" hidden="1"/>
    <col min="5638" max="5638" width="11.125" style="1" hidden="1"/>
    <col min="5639" max="5639" width="10.375" style="1" hidden="1"/>
    <col min="5640" max="5640" width="10.5" style="1" hidden="1"/>
    <col min="5641" max="5889" width="8" style="1" hidden="1"/>
    <col min="5890" max="5890" width="28.125" style="1" hidden="1"/>
    <col min="5891" max="5891" width="8.125" style="1" hidden="1"/>
    <col min="5892" max="5892" width="9.125" style="1" hidden="1"/>
    <col min="5893" max="5893" width="9.75" style="1" hidden="1"/>
    <col min="5894" max="5894" width="11.125" style="1" hidden="1"/>
    <col min="5895" max="5895" width="10.375" style="1" hidden="1"/>
    <col min="5896" max="5896" width="10.5" style="1" hidden="1"/>
    <col min="5897" max="6145" width="9" style="1" hidden="1"/>
    <col min="6146" max="6146" width="28.125" style="1" hidden="1"/>
    <col min="6147" max="6147" width="8.125" style="1" hidden="1"/>
    <col min="6148" max="6148" width="9.125" style="1" hidden="1"/>
    <col min="6149" max="6149" width="9.75" style="1" hidden="1"/>
    <col min="6150" max="6150" width="11.125" style="1" hidden="1"/>
    <col min="6151" max="6151" width="10.375" style="1" hidden="1"/>
    <col min="6152" max="6152" width="10.5" style="1" hidden="1"/>
    <col min="6153" max="6401" width="8" style="1" hidden="1"/>
    <col min="6402" max="6402" width="28.125" style="1" hidden="1"/>
    <col min="6403" max="6403" width="8.125" style="1" hidden="1"/>
    <col min="6404" max="6404" width="9.125" style="1" hidden="1"/>
    <col min="6405" max="6405" width="9.75" style="1" hidden="1"/>
    <col min="6406" max="6406" width="11.125" style="1" hidden="1"/>
    <col min="6407" max="6407" width="10.375" style="1" hidden="1"/>
    <col min="6408" max="6408" width="10.5" style="1" hidden="1"/>
    <col min="6409" max="6657" width="8" style="1" hidden="1"/>
    <col min="6658" max="6658" width="28.125" style="1" hidden="1"/>
    <col min="6659" max="6659" width="8.125" style="1" hidden="1"/>
    <col min="6660" max="6660" width="9.125" style="1" hidden="1"/>
    <col min="6661" max="6661" width="9.75" style="1" hidden="1"/>
    <col min="6662" max="6662" width="11.125" style="1" hidden="1"/>
    <col min="6663" max="6663" width="10.375" style="1" hidden="1"/>
    <col min="6664" max="6664" width="10.5" style="1" hidden="1"/>
    <col min="6665" max="6913" width="8" style="1" hidden="1"/>
    <col min="6914" max="6914" width="28.125" style="1" hidden="1"/>
    <col min="6915" max="6915" width="8.125" style="1" hidden="1"/>
    <col min="6916" max="6916" width="9.125" style="1" hidden="1"/>
    <col min="6917" max="6917" width="9.75" style="1" hidden="1"/>
    <col min="6918" max="6918" width="11.125" style="1" hidden="1"/>
    <col min="6919" max="6919" width="10.375" style="1" hidden="1"/>
    <col min="6920" max="6920" width="10.5" style="1" hidden="1"/>
    <col min="6921" max="7169" width="9" style="1" hidden="1"/>
    <col min="7170" max="7170" width="28.125" style="1" hidden="1"/>
    <col min="7171" max="7171" width="8.125" style="1" hidden="1"/>
    <col min="7172" max="7172" width="9.125" style="1" hidden="1"/>
    <col min="7173" max="7173" width="9.75" style="1" hidden="1"/>
    <col min="7174" max="7174" width="11.125" style="1" hidden="1"/>
    <col min="7175" max="7175" width="10.375" style="1" hidden="1"/>
    <col min="7176" max="7176" width="10.5" style="1" hidden="1"/>
    <col min="7177" max="7425" width="8" style="1" hidden="1"/>
    <col min="7426" max="7426" width="28.125" style="1" hidden="1"/>
    <col min="7427" max="7427" width="8.125" style="1" hidden="1"/>
    <col min="7428" max="7428" width="9.125" style="1" hidden="1"/>
    <col min="7429" max="7429" width="9.75" style="1" hidden="1"/>
    <col min="7430" max="7430" width="11.125" style="1" hidden="1"/>
    <col min="7431" max="7431" width="10.375" style="1" hidden="1"/>
    <col min="7432" max="7432" width="10.5" style="1" hidden="1"/>
    <col min="7433" max="7681" width="8" style="1" hidden="1"/>
    <col min="7682" max="7682" width="28.125" style="1" hidden="1"/>
    <col min="7683" max="7683" width="8.125" style="1" hidden="1"/>
    <col min="7684" max="7684" width="9.125" style="1" hidden="1"/>
    <col min="7685" max="7685" width="9.75" style="1" hidden="1"/>
    <col min="7686" max="7686" width="11.125" style="1" hidden="1"/>
    <col min="7687" max="7687" width="10.375" style="1" hidden="1"/>
    <col min="7688" max="7688" width="10.5" style="1" hidden="1"/>
    <col min="7689" max="7937" width="8" style="1" hidden="1"/>
    <col min="7938" max="7938" width="28.125" style="1" hidden="1"/>
    <col min="7939" max="7939" width="8.125" style="1" hidden="1"/>
    <col min="7940" max="7940" width="9.125" style="1" hidden="1"/>
    <col min="7941" max="7941" width="9.75" style="1" hidden="1"/>
    <col min="7942" max="7942" width="11.125" style="1" hidden="1"/>
    <col min="7943" max="7943" width="10.375" style="1" hidden="1"/>
    <col min="7944" max="7944" width="10.5" style="1" hidden="1"/>
    <col min="7945" max="8193" width="9" style="1" hidden="1"/>
    <col min="8194" max="8194" width="28.125" style="1" hidden="1"/>
    <col min="8195" max="8195" width="8.125" style="1" hidden="1"/>
    <col min="8196" max="8196" width="9.125" style="1" hidden="1"/>
    <col min="8197" max="8197" width="9.75" style="1" hidden="1"/>
    <col min="8198" max="8198" width="11.125" style="1" hidden="1"/>
    <col min="8199" max="8199" width="10.375" style="1" hidden="1"/>
    <col min="8200" max="8200" width="10.5" style="1" hidden="1"/>
    <col min="8201" max="8449" width="8" style="1" hidden="1"/>
    <col min="8450" max="8450" width="28.125" style="1" hidden="1"/>
    <col min="8451" max="8451" width="8.125" style="1" hidden="1"/>
    <col min="8452" max="8452" width="9.125" style="1" hidden="1"/>
    <col min="8453" max="8453" width="9.75" style="1" hidden="1"/>
    <col min="8454" max="8454" width="11.125" style="1" hidden="1"/>
    <col min="8455" max="8455" width="10.375" style="1" hidden="1"/>
    <col min="8456" max="8456" width="10.5" style="1" hidden="1"/>
    <col min="8457" max="8705" width="8" style="1" hidden="1"/>
    <col min="8706" max="8706" width="28.125" style="1" hidden="1"/>
    <col min="8707" max="8707" width="8.125" style="1" hidden="1"/>
    <col min="8708" max="8708" width="9.125" style="1" hidden="1"/>
    <col min="8709" max="8709" width="9.75" style="1" hidden="1"/>
    <col min="8710" max="8710" width="11.125" style="1" hidden="1"/>
    <col min="8711" max="8711" width="10.375" style="1" hidden="1"/>
    <col min="8712" max="8712" width="10.5" style="1" hidden="1"/>
    <col min="8713" max="8961" width="8" style="1" hidden="1"/>
    <col min="8962" max="8962" width="28.125" style="1" hidden="1"/>
    <col min="8963" max="8963" width="8.125" style="1" hidden="1"/>
    <col min="8964" max="8964" width="9.125" style="1" hidden="1"/>
    <col min="8965" max="8965" width="9.75" style="1" hidden="1"/>
    <col min="8966" max="8966" width="11.125" style="1" hidden="1"/>
    <col min="8967" max="8967" width="10.375" style="1" hidden="1"/>
    <col min="8968" max="8968" width="10.5" style="1" hidden="1"/>
    <col min="8969" max="9217" width="9" style="1" hidden="1"/>
    <col min="9218" max="9218" width="28.125" style="1" hidden="1"/>
    <col min="9219" max="9219" width="8.125" style="1" hidden="1"/>
    <col min="9220" max="9220" width="9.125" style="1" hidden="1"/>
    <col min="9221" max="9221" width="9.75" style="1" hidden="1"/>
    <col min="9222" max="9222" width="11.125" style="1" hidden="1"/>
    <col min="9223" max="9223" width="10.375" style="1" hidden="1"/>
    <col min="9224" max="9224" width="10.5" style="1" hidden="1"/>
    <col min="9225" max="9473" width="8" style="1" hidden="1"/>
    <col min="9474" max="9474" width="28.125" style="1" hidden="1"/>
    <col min="9475" max="9475" width="8.125" style="1" hidden="1"/>
    <col min="9476" max="9476" width="9.125" style="1" hidden="1"/>
    <col min="9477" max="9477" width="9.75" style="1" hidden="1"/>
    <col min="9478" max="9478" width="11.125" style="1" hidden="1"/>
    <col min="9479" max="9479" width="10.375" style="1" hidden="1"/>
    <col min="9480" max="9480" width="10.5" style="1" hidden="1"/>
    <col min="9481" max="9729" width="8" style="1" hidden="1"/>
    <col min="9730" max="9730" width="28.125" style="1" hidden="1"/>
    <col min="9731" max="9731" width="8.125" style="1" hidden="1"/>
    <col min="9732" max="9732" width="9.125" style="1" hidden="1"/>
    <col min="9733" max="9733" width="9.75" style="1" hidden="1"/>
    <col min="9734" max="9734" width="11.125" style="1" hidden="1"/>
    <col min="9735" max="9735" width="10.375" style="1" hidden="1"/>
    <col min="9736" max="9736" width="10.5" style="1" hidden="1"/>
    <col min="9737" max="9985" width="8" style="1" hidden="1"/>
    <col min="9986" max="9986" width="28.125" style="1" hidden="1"/>
    <col min="9987" max="9987" width="8.125" style="1" hidden="1"/>
    <col min="9988" max="9988" width="9.125" style="1" hidden="1"/>
    <col min="9989" max="9989" width="9.75" style="1" hidden="1"/>
    <col min="9990" max="9990" width="11.125" style="1" hidden="1"/>
    <col min="9991" max="9991" width="10.375" style="1" hidden="1"/>
    <col min="9992" max="9992" width="10.5" style="1" hidden="1"/>
    <col min="9993" max="10241" width="9" style="1" hidden="1"/>
    <col min="10242" max="10242" width="28.125" style="1" hidden="1"/>
    <col min="10243" max="10243" width="8.125" style="1" hidden="1"/>
    <col min="10244" max="10244" width="9.125" style="1" hidden="1"/>
    <col min="10245" max="10245" width="9.75" style="1" hidden="1"/>
    <col min="10246" max="10246" width="11.125" style="1" hidden="1"/>
    <col min="10247" max="10247" width="10.375" style="1" hidden="1"/>
    <col min="10248" max="10248" width="10.5" style="1" hidden="1"/>
    <col min="10249" max="10497" width="8" style="1" hidden="1"/>
    <col min="10498" max="10498" width="28.125" style="1" hidden="1"/>
    <col min="10499" max="10499" width="8.125" style="1" hidden="1"/>
    <col min="10500" max="10500" width="9.125" style="1" hidden="1"/>
    <col min="10501" max="10501" width="9.75" style="1" hidden="1"/>
    <col min="10502" max="10502" width="11.125" style="1" hidden="1"/>
    <col min="10503" max="10503" width="10.375" style="1" hidden="1"/>
    <col min="10504" max="10504" width="10.5" style="1" hidden="1"/>
    <col min="10505" max="10753" width="8" style="1" hidden="1"/>
    <col min="10754" max="10754" width="28.125" style="1" hidden="1"/>
    <col min="10755" max="10755" width="8.125" style="1" hidden="1"/>
    <col min="10756" max="10756" width="9.125" style="1" hidden="1"/>
    <col min="10757" max="10757" width="9.75" style="1" hidden="1"/>
    <col min="10758" max="10758" width="11.125" style="1" hidden="1"/>
    <col min="10759" max="10759" width="10.375" style="1" hidden="1"/>
    <col min="10760" max="10760" width="10.5" style="1" hidden="1"/>
    <col min="10761" max="11009" width="8" style="1" hidden="1"/>
    <col min="11010" max="11010" width="28.125" style="1" hidden="1"/>
    <col min="11011" max="11011" width="8.125" style="1" hidden="1"/>
    <col min="11012" max="11012" width="9.125" style="1" hidden="1"/>
    <col min="11013" max="11013" width="9.75" style="1" hidden="1"/>
    <col min="11014" max="11014" width="11.125" style="1" hidden="1"/>
    <col min="11015" max="11015" width="10.375" style="1" hidden="1"/>
    <col min="11016" max="11016" width="10.5" style="1" hidden="1"/>
    <col min="11017" max="11265" width="9" style="1" hidden="1"/>
    <col min="11266" max="11266" width="28.125" style="1" hidden="1"/>
    <col min="11267" max="11267" width="8.125" style="1" hidden="1"/>
    <col min="11268" max="11268" width="9.125" style="1" hidden="1"/>
    <col min="11269" max="11269" width="9.75" style="1" hidden="1"/>
    <col min="11270" max="11270" width="11.125" style="1" hidden="1"/>
    <col min="11271" max="11271" width="10.375" style="1" hidden="1"/>
    <col min="11272" max="11272" width="10.5" style="1" hidden="1"/>
    <col min="11273" max="11521" width="8" style="1" hidden="1"/>
    <col min="11522" max="11522" width="28.125" style="1" hidden="1"/>
    <col min="11523" max="11523" width="8.125" style="1" hidden="1"/>
    <col min="11524" max="11524" width="9.125" style="1" hidden="1"/>
    <col min="11525" max="11525" width="9.75" style="1" hidden="1"/>
    <col min="11526" max="11526" width="11.125" style="1" hidden="1"/>
    <col min="11527" max="11527" width="10.375" style="1" hidden="1"/>
    <col min="11528" max="11528" width="10.5" style="1" hidden="1"/>
    <col min="11529" max="11777" width="8" style="1" hidden="1"/>
    <col min="11778" max="11778" width="28.125" style="1" hidden="1"/>
    <col min="11779" max="11779" width="8.125" style="1" hidden="1"/>
    <col min="11780" max="11780" width="9.125" style="1" hidden="1"/>
    <col min="11781" max="11781" width="9.75" style="1" hidden="1"/>
    <col min="11782" max="11782" width="11.125" style="1" hidden="1"/>
    <col min="11783" max="11783" width="10.375" style="1" hidden="1"/>
    <col min="11784" max="11784" width="10.5" style="1" hidden="1"/>
    <col min="11785" max="12033" width="8" style="1" hidden="1"/>
    <col min="12034" max="12034" width="28.125" style="1" hidden="1"/>
    <col min="12035" max="12035" width="8.125" style="1" hidden="1"/>
    <col min="12036" max="12036" width="9.125" style="1" hidden="1"/>
    <col min="12037" max="12037" width="9.75" style="1" hidden="1"/>
    <col min="12038" max="12038" width="11.125" style="1" hidden="1"/>
    <col min="12039" max="12039" width="10.375" style="1" hidden="1"/>
    <col min="12040" max="12040" width="10.5" style="1" hidden="1"/>
    <col min="12041" max="12289" width="9" style="1" hidden="1"/>
    <col min="12290" max="12290" width="28.125" style="1" hidden="1"/>
    <col min="12291" max="12291" width="8.125" style="1" hidden="1"/>
    <col min="12292" max="12292" width="9.125" style="1" hidden="1"/>
    <col min="12293" max="12293" width="9.75" style="1" hidden="1"/>
    <col min="12294" max="12294" width="11.125" style="1" hidden="1"/>
    <col min="12295" max="12295" width="10.375" style="1" hidden="1"/>
    <col min="12296" max="12296" width="10.5" style="1" hidden="1"/>
    <col min="12297" max="12545" width="8" style="1" hidden="1"/>
    <col min="12546" max="12546" width="28.125" style="1" hidden="1"/>
    <col min="12547" max="12547" width="8.125" style="1" hidden="1"/>
    <col min="12548" max="12548" width="9.125" style="1" hidden="1"/>
    <col min="12549" max="12549" width="9.75" style="1" hidden="1"/>
    <col min="12550" max="12550" width="11.125" style="1" hidden="1"/>
    <col min="12551" max="12551" width="10.375" style="1" hidden="1"/>
    <col min="12552" max="12552" width="10.5" style="1" hidden="1"/>
    <col min="12553" max="12801" width="8" style="1" hidden="1"/>
    <col min="12802" max="12802" width="28.125" style="1" hidden="1"/>
    <col min="12803" max="12803" width="8.125" style="1" hidden="1"/>
    <col min="12804" max="12804" width="9.125" style="1" hidden="1"/>
    <col min="12805" max="12805" width="9.75" style="1" hidden="1"/>
    <col min="12806" max="12806" width="11.125" style="1" hidden="1"/>
    <col min="12807" max="12807" width="10.375" style="1" hidden="1"/>
    <col min="12808" max="12808" width="10.5" style="1" hidden="1"/>
    <col min="12809" max="13057" width="8" style="1" hidden="1"/>
    <col min="13058" max="13058" width="28.125" style="1" hidden="1"/>
    <col min="13059" max="13059" width="8.125" style="1" hidden="1"/>
    <col min="13060" max="13060" width="9.125" style="1" hidden="1"/>
    <col min="13061" max="13061" width="9.75" style="1" hidden="1"/>
    <col min="13062" max="13062" width="11.125" style="1" hidden="1"/>
    <col min="13063" max="13063" width="10.375" style="1" hidden="1"/>
    <col min="13064" max="13064" width="10.5" style="1" hidden="1"/>
    <col min="13065" max="13313" width="9" style="1" hidden="1"/>
    <col min="13314" max="13314" width="28.125" style="1" hidden="1"/>
    <col min="13315" max="13315" width="8.125" style="1" hidden="1"/>
    <col min="13316" max="13316" width="9.125" style="1" hidden="1"/>
    <col min="13317" max="13317" width="9.75" style="1" hidden="1"/>
    <col min="13318" max="13318" width="11.125" style="1" hidden="1"/>
    <col min="13319" max="13319" width="10.375" style="1" hidden="1"/>
    <col min="13320" max="13320" width="10.5" style="1" hidden="1"/>
    <col min="13321" max="13569" width="8" style="1" hidden="1"/>
    <col min="13570" max="13570" width="28.125" style="1" hidden="1"/>
    <col min="13571" max="13571" width="8.125" style="1" hidden="1"/>
    <col min="13572" max="13572" width="9.125" style="1" hidden="1"/>
    <col min="13573" max="13573" width="9.75" style="1" hidden="1"/>
    <col min="13574" max="13574" width="11.125" style="1" hidden="1"/>
    <col min="13575" max="13575" width="10.375" style="1" hidden="1"/>
    <col min="13576" max="13576" width="10.5" style="1" hidden="1"/>
    <col min="13577" max="13825" width="8" style="1" hidden="1"/>
    <col min="13826" max="13826" width="28.125" style="1" hidden="1"/>
    <col min="13827" max="13827" width="8.125" style="1" hidden="1"/>
    <col min="13828" max="13828" width="9.125" style="1" hidden="1"/>
    <col min="13829" max="13829" width="9.75" style="1" hidden="1"/>
    <col min="13830" max="13830" width="11.125" style="1" hidden="1"/>
    <col min="13831" max="13831" width="10.375" style="1" hidden="1"/>
    <col min="13832" max="13832" width="10.5" style="1" hidden="1"/>
    <col min="13833" max="14081" width="8" style="1" hidden="1"/>
    <col min="14082" max="14082" width="28.125" style="1" hidden="1"/>
    <col min="14083" max="14083" width="8.125" style="1" hidden="1"/>
    <col min="14084" max="14084" width="9.125" style="1" hidden="1"/>
    <col min="14085" max="14085" width="9.75" style="1" hidden="1"/>
    <col min="14086" max="14086" width="11.125" style="1" hidden="1"/>
    <col min="14087" max="14087" width="10.375" style="1" hidden="1"/>
    <col min="14088" max="14088" width="10.5" style="1" hidden="1"/>
    <col min="14089" max="14337" width="9" style="1" hidden="1"/>
    <col min="14338" max="14338" width="28.125" style="1" hidden="1"/>
    <col min="14339" max="14339" width="8.125" style="1" hidden="1"/>
    <col min="14340" max="14340" width="9.125" style="1" hidden="1"/>
    <col min="14341" max="14341" width="9.75" style="1" hidden="1"/>
    <col min="14342" max="14342" width="11.125" style="1" hidden="1"/>
    <col min="14343" max="14343" width="10.375" style="1" hidden="1"/>
    <col min="14344" max="14344" width="10.5" style="1" hidden="1"/>
    <col min="14345" max="14593" width="8" style="1" hidden="1"/>
    <col min="14594" max="14594" width="28.125" style="1" hidden="1"/>
    <col min="14595" max="14595" width="8.125" style="1" hidden="1"/>
    <col min="14596" max="14596" width="9.125" style="1" hidden="1"/>
    <col min="14597" max="14597" width="9.75" style="1" hidden="1"/>
    <col min="14598" max="14598" width="11.125" style="1" hidden="1"/>
    <col min="14599" max="14599" width="10.375" style="1" hidden="1"/>
    <col min="14600" max="14600" width="10.5" style="1" hidden="1"/>
    <col min="14601" max="14849" width="8" style="1" hidden="1"/>
    <col min="14850" max="14850" width="28.125" style="1" hidden="1"/>
    <col min="14851" max="14851" width="8.125" style="1" hidden="1"/>
    <col min="14852" max="14852" width="9.125" style="1" hidden="1"/>
    <col min="14853" max="14853" width="9.75" style="1" hidden="1"/>
    <col min="14854" max="14854" width="11.125" style="1" hidden="1"/>
    <col min="14855" max="14855" width="10.375" style="1" hidden="1"/>
    <col min="14856" max="14856" width="10.5" style="1" hidden="1"/>
    <col min="14857" max="15105" width="8" style="1" hidden="1"/>
    <col min="15106" max="15106" width="28.125" style="1" hidden="1"/>
    <col min="15107" max="15107" width="8.125" style="1" hidden="1"/>
    <col min="15108" max="15108" width="9.125" style="1" hidden="1"/>
    <col min="15109" max="15109" width="9.75" style="1" hidden="1"/>
    <col min="15110" max="15110" width="11.125" style="1" hidden="1"/>
    <col min="15111" max="15111" width="10.375" style="1" hidden="1"/>
    <col min="15112" max="15112" width="10.5" style="1" hidden="1"/>
    <col min="15113" max="15361" width="9" style="1" hidden="1"/>
    <col min="15362" max="15362" width="28.125" style="1" hidden="1"/>
    <col min="15363" max="15363" width="8.125" style="1" hidden="1"/>
    <col min="15364" max="15364" width="9.125" style="1" hidden="1"/>
    <col min="15365" max="15365" width="9.75" style="1" hidden="1"/>
    <col min="15366" max="15366" width="11.125" style="1" hidden="1"/>
    <col min="15367" max="15367" width="10.375" style="1" hidden="1"/>
    <col min="15368" max="15368" width="10.5" style="1" hidden="1"/>
    <col min="15369" max="15617" width="8" style="1" hidden="1"/>
    <col min="15618" max="15618" width="28.125" style="1" hidden="1"/>
    <col min="15619" max="15619" width="8.125" style="1" hidden="1"/>
    <col min="15620" max="15620" width="9.125" style="1" hidden="1"/>
    <col min="15621" max="15621" width="9.75" style="1" hidden="1"/>
    <col min="15622" max="15622" width="11.125" style="1" hidden="1"/>
    <col min="15623" max="15623" width="10.375" style="1" hidden="1"/>
    <col min="15624" max="15624" width="10.5" style="1" hidden="1"/>
    <col min="15625" max="15873" width="8" style="1" hidden="1"/>
    <col min="15874" max="15874" width="28.125" style="1" hidden="1"/>
    <col min="15875" max="15875" width="8.125" style="1" hidden="1"/>
    <col min="15876" max="15876" width="9.125" style="1" hidden="1"/>
    <col min="15877" max="15877" width="9.75" style="1" hidden="1"/>
    <col min="15878" max="15878" width="11.125" style="1" hidden="1"/>
    <col min="15879" max="15879" width="10.375" style="1" hidden="1"/>
    <col min="15880" max="15880" width="10.5" style="1" hidden="1"/>
    <col min="15881" max="16129" width="8" style="1" hidden="1"/>
    <col min="16130" max="16130" width="28.125" style="1" hidden="1"/>
    <col min="16131" max="16131" width="8.125" style="1" hidden="1"/>
    <col min="16132" max="16132" width="9.125" style="1" hidden="1"/>
    <col min="16133" max="16133" width="9.75" style="1" hidden="1"/>
    <col min="16134" max="16134" width="11.125" style="1" hidden="1"/>
    <col min="16135" max="16135" width="10.375" style="1" hidden="1"/>
    <col min="16136" max="16136" width="10.5" style="1" hidden="1"/>
    <col min="16137" max="16384" width="9" style="1" hidden="1"/>
  </cols>
  <sheetData>
    <row r="1" spans="2:8" ht="15.95" customHeight="1">
      <c r="B1" s="49"/>
      <c r="C1" s="49"/>
      <c r="D1" s="50"/>
      <c r="E1" s="201" t="s">
        <v>29</v>
      </c>
      <c r="F1" s="151" t="s">
        <v>393</v>
      </c>
    </row>
    <row r="2" spans="2:8" ht="15.95" customHeight="1" thickBot="1">
      <c r="B2" s="3"/>
      <c r="C2" s="2"/>
      <c r="E2" s="2"/>
      <c r="F2" s="4"/>
      <c r="G2" s="4"/>
      <c r="H2" s="4"/>
    </row>
    <row r="3" spans="2:8" ht="20.25" customHeight="1">
      <c r="B3" s="308" t="s">
        <v>438</v>
      </c>
      <c r="C3" s="309"/>
      <c r="D3" s="309"/>
      <c r="E3" s="309"/>
      <c r="F3" s="310"/>
    </row>
    <row r="4" spans="2:8" ht="15.95" customHeight="1">
      <c r="B4" s="5"/>
      <c r="C4" s="6" t="s">
        <v>30</v>
      </c>
      <c r="D4" s="6" t="s">
        <v>30</v>
      </c>
      <c r="F4" s="202"/>
    </row>
    <row r="5" spans="2:8" ht="15.95" customHeight="1">
      <c r="B5" s="44"/>
      <c r="C5" s="54" t="s">
        <v>12</v>
      </c>
      <c r="D5" s="54" t="s">
        <v>17</v>
      </c>
      <c r="E5" s="55" t="s">
        <v>474</v>
      </c>
      <c r="F5" s="56" t="s">
        <v>468</v>
      </c>
      <c r="G5" s="9"/>
      <c r="H5" s="9"/>
    </row>
    <row r="6" spans="2:8" ht="15.95" customHeight="1">
      <c r="B6" s="51" t="s">
        <v>467</v>
      </c>
      <c r="C6" s="41"/>
      <c r="D6" s="41"/>
      <c r="E6" s="9"/>
      <c r="F6" s="8"/>
      <c r="G6" s="9"/>
      <c r="H6" s="9"/>
    </row>
    <row r="7" spans="2:8" ht="15.95" customHeight="1">
      <c r="B7" s="11" t="s">
        <v>432</v>
      </c>
      <c r="C7" s="45" t="s">
        <v>431</v>
      </c>
      <c r="D7" s="203">
        <f>Inputs!E5</f>
        <v>66</v>
      </c>
      <c r="E7" s="204">
        <f>Inputs!E6</f>
        <v>9</v>
      </c>
      <c r="F7" s="153">
        <f>D7*E7</f>
        <v>594</v>
      </c>
      <c r="G7" s="2"/>
      <c r="H7" s="2"/>
    </row>
    <row r="8" spans="2:8" ht="15.95" customHeight="1">
      <c r="B8" s="11" t="s">
        <v>370</v>
      </c>
      <c r="C8" s="7"/>
      <c r="D8" s="46"/>
      <c r="E8" s="47"/>
      <c r="F8" s="155">
        <f>D8*E8</f>
        <v>0</v>
      </c>
      <c r="G8" s="2"/>
      <c r="H8" s="2"/>
    </row>
    <row r="9" spans="2:8" ht="15.95" customHeight="1">
      <c r="B9" s="43" t="s">
        <v>470</v>
      </c>
      <c r="C9" s="2"/>
      <c r="D9" s="13"/>
      <c r="E9" s="13"/>
      <c r="F9" s="152">
        <f>SUM(F7:F8)</f>
        <v>594</v>
      </c>
      <c r="G9" s="2"/>
      <c r="H9" s="2"/>
    </row>
    <row r="10" spans="2:8" ht="15.95" customHeight="1">
      <c r="B10" s="5"/>
      <c r="C10" s="2"/>
      <c r="D10" s="13"/>
      <c r="E10" s="2"/>
      <c r="F10" s="153"/>
      <c r="G10" s="2"/>
      <c r="H10" s="2"/>
    </row>
    <row r="11" spans="2:8" ht="15.95" customHeight="1">
      <c r="B11" s="52" t="s">
        <v>469</v>
      </c>
      <c r="C11" s="55" t="s">
        <v>32</v>
      </c>
      <c r="D11" s="55" t="s">
        <v>31</v>
      </c>
      <c r="E11" s="55" t="s">
        <v>475</v>
      </c>
      <c r="F11" s="56" t="s">
        <v>468</v>
      </c>
      <c r="G11" s="14"/>
      <c r="H11" s="14"/>
    </row>
    <row r="12" spans="2:8" ht="15.95" customHeight="1">
      <c r="B12" s="15" t="s">
        <v>33</v>
      </c>
      <c r="C12" s="13">
        <f>Inputs!E13</f>
        <v>15</v>
      </c>
      <c r="D12" s="2">
        <f>Inputs!E16</f>
        <v>8.75</v>
      </c>
      <c r="F12" s="153">
        <f>C12*D12</f>
        <v>131.25</v>
      </c>
      <c r="G12" s="2"/>
    </row>
    <row r="13" spans="2:8" ht="15.95" customHeight="1">
      <c r="B13" s="15" t="s">
        <v>34</v>
      </c>
      <c r="C13" s="2"/>
      <c r="D13" s="13"/>
      <c r="E13" s="2"/>
      <c r="F13" s="153">
        <f>SUM(E14:E17)</f>
        <v>146.4</v>
      </c>
      <c r="G13" s="2"/>
    </row>
    <row r="14" spans="2:8" ht="15.95" customHeight="1">
      <c r="B14" s="18" t="s">
        <v>35</v>
      </c>
      <c r="C14" s="2">
        <v>0</v>
      </c>
      <c r="D14" s="13">
        <f>Inputs!D30</f>
        <v>0.6</v>
      </c>
      <c r="E14" s="2">
        <f>C14*D14</f>
        <v>0</v>
      </c>
      <c r="F14" s="153"/>
      <c r="G14" s="2"/>
      <c r="H14" s="2"/>
    </row>
    <row r="15" spans="2:8" ht="15.95" customHeight="1">
      <c r="B15" s="18" t="s">
        <v>36</v>
      </c>
      <c r="C15" s="2">
        <f>Inputs!E20</f>
        <v>70</v>
      </c>
      <c r="D15" s="13">
        <f>Inputs!D31</f>
        <v>0.62</v>
      </c>
      <c r="E15" s="2">
        <f t="shared" ref="E15:E17" si="0">C15*D15</f>
        <v>43.4</v>
      </c>
      <c r="F15" s="153"/>
      <c r="G15" s="2"/>
      <c r="H15" s="2"/>
    </row>
    <row r="16" spans="2:8" ht="15.95" customHeight="1">
      <c r="B16" s="18" t="s">
        <v>22</v>
      </c>
      <c r="C16" s="2">
        <f>Inputs!E21</f>
        <v>50</v>
      </c>
      <c r="D16" s="13">
        <f>Inputs!D32</f>
        <v>0.41</v>
      </c>
      <c r="E16" s="2">
        <f t="shared" si="0"/>
        <v>20.5</v>
      </c>
      <c r="F16" s="153"/>
      <c r="G16" s="2"/>
      <c r="H16" s="2"/>
    </row>
    <row r="17" spans="2:8" ht="15.95" customHeight="1">
      <c r="B17" s="18" t="s">
        <v>37</v>
      </c>
      <c r="C17" s="2">
        <f>Inputs!E22</f>
        <v>3</v>
      </c>
      <c r="D17" s="13">
        <f>Inputs!D33</f>
        <v>27.5</v>
      </c>
      <c r="E17" s="2">
        <f t="shared" si="0"/>
        <v>82.5</v>
      </c>
      <c r="F17" s="179"/>
      <c r="G17" s="2"/>
      <c r="H17" s="2"/>
    </row>
    <row r="18" spans="2:8" ht="15.95" customHeight="1">
      <c r="B18" s="15" t="s">
        <v>38</v>
      </c>
      <c r="C18" s="2"/>
      <c r="D18" s="13"/>
      <c r="E18" s="2"/>
      <c r="F18" s="153">
        <f>Inputs!E34</f>
        <v>62.490156249999998</v>
      </c>
      <c r="G18" s="2"/>
      <c r="H18" s="2"/>
    </row>
    <row r="19" spans="2:8" ht="15.95" customHeight="1">
      <c r="B19" s="15" t="s">
        <v>767</v>
      </c>
      <c r="C19" s="2"/>
      <c r="D19" s="13"/>
      <c r="E19" s="2"/>
      <c r="F19" s="180">
        <v>10</v>
      </c>
      <c r="G19" s="2"/>
      <c r="H19" s="2"/>
    </row>
    <row r="20" spans="2:8" ht="15.95" customHeight="1">
      <c r="B20" s="15" t="s">
        <v>39</v>
      </c>
      <c r="C20" s="2"/>
      <c r="D20" s="13"/>
      <c r="E20" s="2"/>
      <c r="F20" s="180">
        <v>0</v>
      </c>
      <c r="G20" s="2"/>
      <c r="H20" s="2"/>
    </row>
    <row r="21" spans="2:8" ht="15.95" customHeight="1">
      <c r="B21" s="15" t="s">
        <v>40</v>
      </c>
      <c r="C21" s="2"/>
      <c r="D21" s="13"/>
      <c r="E21" s="2"/>
      <c r="F21" s="153">
        <f>H61</f>
        <v>73.44</v>
      </c>
      <c r="G21" s="2"/>
      <c r="H21" s="2"/>
    </row>
    <row r="22" spans="2:8" ht="15.95" customHeight="1">
      <c r="B22" s="15" t="s">
        <v>743</v>
      </c>
      <c r="C22" s="2">
        <f>D76</f>
        <v>6.5011452819922351</v>
      </c>
      <c r="D22" s="13">
        <f>Inputs!D29</f>
        <v>4</v>
      </c>
      <c r="E22" s="2"/>
      <c r="F22" s="153">
        <f>C22*D22</f>
        <v>26.00458112796894</v>
      </c>
      <c r="G22" s="2"/>
      <c r="H22" s="2"/>
    </row>
    <row r="23" spans="2:8" ht="15.95" customHeight="1">
      <c r="B23" s="15" t="s">
        <v>41</v>
      </c>
      <c r="D23" s="13"/>
      <c r="E23" s="2"/>
      <c r="F23" s="153">
        <f>E76-F22-(G52*C76)</f>
        <v>24.190816328312426</v>
      </c>
      <c r="G23" s="4"/>
      <c r="H23" s="2"/>
    </row>
    <row r="24" spans="2:8" ht="15.95" customHeight="1">
      <c r="B24" s="15" t="s">
        <v>42</v>
      </c>
      <c r="C24" s="2">
        <f>C76+Inputs!E23</f>
        <v>2.4728603083615104</v>
      </c>
      <c r="D24" s="13">
        <f>Inputs!D28</f>
        <v>17.309999999999999</v>
      </c>
      <c r="E24" s="2"/>
      <c r="F24" s="153">
        <f>D24*C24</f>
        <v>42.805211937737745</v>
      </c>
      <c r="G24" s="2"/>
      <c r="H24" s="2"/>
    </row>
    <row r="25" spans="2:8" ht="15.95" customHeight="1">
      <c r="B25" s="15" t="s">
        <v>43</v>
      </c>
      <c r="C25" s="2"/>
      <c r="D25" s="13"/>
      <c r="E25" s="2"/>
      <c r="F25" s="180">
        <v>0</v>
      </c>
      <c r="G25" s="2"/>
      <c r="H25" s="2"/>
    </row>
    <row r="26" spans="2:8" ht="15.95" customHeight="1">
      <c r="B26" s="15" t="s">
        <v>24</v>
      </c>
      <c r="C26" s="2">
        <f>SUM(F12:F25)/2</f>
        <v>258.29038282200958</v>
      </c>
      <c r="D26" s="205">
        <f>Inputs!D24</f>
        <v>0.09</v>
      </c>
      <c r="F26" s="206">
        <f>D26*C26</f>
        <v>23.246134453980861</v>
      </c>
      <c r="G26" s="2"/>
      <c r="H26" s="2"/>
    </row>
    <row r="27" spans="2:8" ht="15.95" customHeight="1">
      <c r="B27" s="43" t="s">
        <v>471</v>
      </c>
      <c r="C27" s="17"/>
      <c r="D27" s="16"/>
      <c r="E27" s="2"/>
      <c r="F27" s="152">
        <f>SUM(F12:F26)</f>
        <v>539.82690009800001</v>
      </c>
      <c r="G27" s="2"/>
      <c r="H27" s="2"/>
    </row>
    <row r="28" spans="2:8" ht="15.95" customHeight="1">
      <c r="B28" s="5"/>
      <c r="C28" s="17"/>
      <c r="D28" s="16"/>
      <c r="E28" s="2"/>
      <c r="F28" s="179"/>
      <c r="G28" s="2"/>
      <c r="H28" s="2"/>
    </row>
    <row r="29" spans="2:8" ht="15.95" customHeight="1">
      <c r="B29" s="52" t="s">
        <v>770</v>
      </c>
      <c r="C29" s="17"/>
      <c r="D29" s="16"/>
      <c r="E29" s="2"/>
      <c r="F29" s="153"/>
      <c r="G29" s="14"/>
      <c r="H29" s="14"/>
    </row>
    <row r="30" spans="2:8" ht="15.95" customHeight="1">
      <c r="B30" s="15" t="s">
        <v>28</v>
      </c>
      <c r="C30" s="207"/>
      <c r="D30" s="16"/>
      <c r="E30" s="2"/>
      <c r="F30" s="208">
        <f>Inputs!$E$37</f>
        <v>21.66</v>
      </c>
      <c r="G30" s="4"/>
      <c r="H30" s="4"/>
    </row>
    <row r="31" spans="2:8" ht="15.95" customHeight="1">
      <c r="B31" s="15" t="s">
        <v>749</v>
      </c>
      <c r="C31" s="17"/>
      <c r="D31" s="16"/>
      <c r="E31" s="2"/>
      <c r="F31" s="208">
        <f>F76</f>
        <v>89.729412037418086</v>
      </c>
      <c r="G31" s="2"/>
      <c r="H31" s="2"/>
    </row>
    <row r="32" spans="2:8" ht="15.95" customHeight="1">
      <c r="B32" s="15" t="s">
        <v>44</v>
      </c>
      <c r="C32" s="17"/>
      <c r="D32" s="16"/>
      <c r="E32" s="2"/>
      <c r="F32" s="206">
        <f>Inputs!E38</f>
        <v>120.71654367273331</v>
      </c>
      <c r="G32" s="2"/>
      <c r="H32" s="2"/>
    </row>
    <row r="33" spans="2:8" ht="15.95" customHeight="1">
      <c r="B33" s="43" t="s">
        <v>472</v>
      </c>
      <c r="C33" s="2"/>
      <c r="D33" s="13"/>
      <c r="E33" s="2"/>
      <c r="F33" s="152">
        <f>SUM(F30:F32)</f>
        <v>232.10595571015139</v>
      </c>
      <c r="G33" s="2"/>
      <c r="H33" s="2"/>
    </row>
    <row r="34" spans="2:8" ht="15.95" customHeight="1">
      <c r="B34" s="5"/>
      <c r="C34" s="2"/>
      <c r="D34" s="13"/>
      <c r="E34" s="2"/>
      <c r="F34" s="153"/>
      <c r="G34" s="2"/>
      <c r="H34" s="2"/>
    </row>
    <row r="35" spans="2:8" ht="15.95" customHeight="1">
      <c r="B35" s="48" t="s">
        <v>473</v>
      </c>
      <c r="C35" s="10"/>
      <c r="D35" s="19"/>
      <c r="E35" s="19"/>
      <c r="F35" s="154">
        <f>F27+F33</f>
        <v>771.93285580815143</v>
      </c>
      <c r="G35" s="14"/>
      <c r="H35" s="14"/>
    </row>
    <row r="36" spans="2:8" ht="15.95" customHeight="1">
      <c r="B36" s="5"/>
      <c r="C36" s="2"/>
      <c r="D36" s="13"/>
      <c r="E36" s="2"/>
      <c r="F36" s="153"/>
      <c r="G36" s="2"/>
      <c r="H36" s="2"/>
    </row>
    <row r="37" spans="2:8" ht="15.95" customHeight="1">
      <c r="B37" s="42" t="s">
        <v>768</v>
      </c>
      <c r="C37" s="2"/>
      <c r="D37" s="13"/>
      <c r="E37" s="2"/>
      <c r="F37" s="209">
        <f>F9-F27</f>
        <v>54.17309990199999</v>
      </c>
      <c r="G37" s="14"/>
      <c r="H37" s="14"/>
    </row>
    <row r="38" spans="2:8" ht="15.95" customHeight="1">
      <c r="B38" s="42" t="s">
        <v>769</v>
      </c>
      <c r="C38" s="2"/>
      <c r="D38" s="13"/>
      <c r="E38" s="2"/>
      <c r="F38" s="209">
        <f>F9-F35</f>
        <v>-177.93285580815143</v>
      </c>
      <c r="G38" s="4"/>
      <c r="H38" s="2"/>
    </row>
    <row r="39" spans="2:8" ht="15.95" customHeight="1">
      <c r="B39" s="210"/>
      <c r="C39" s="10"/>
      <c r="D39" s="19"/>
      <c r="E39" s="10"/>
      <c r="F39" s="155"/>
      <c r="G39" s="2"/>
      <c r="H39" s="2"/>
    </row>
    <row r="40" spans="2:8" ht="15.95" customHeight="1">
      <c r="B40" s="5"/>
      <c r="C40" s="2"/>
      <c r="D40" s="2" t="s">
        <v>45</v>
      </c>
      <c r="E40" s="2"/>
      <c r="F40" s="208">
        <f>F27/D7</f>
        <v>8.1791954560303033</v>
      </c>
      <c r="G40" s="2"/>
      <c r="H40" s="2"/>
    </row>
    <row r="41" spans="2:8" ht="15.95" customHeight="1">
      <c r="B41" s="5"/>
      <c r="C41" s="2"/>
      <c r="D41" s="2" t="s">
        <v>46</v>
      </c>
      <c r="E41" s="2"/>
      <c r="F41" s="208">
        <f>F33/D7</f>
        <v>3.5167569046992635</v>
      </c>
      <c r="G41" s="4"/>
      <c r="H41" s="4"/>
    </row>
    <row r="42" spans="2:8" ht="15.95" customHeight="1" thickBot="1">
      <c r="B42" s="20"/>
      <c r="C42" s="21"/>
      <c r="D42" s="21" t="s">
        <v>47</v>
      </c>
      <c r="E42" s="21"/>
      <c r="F42" s="211">
        <f>F35/D7</f>
        <v>11.695952360729567</v>
      </c>
      <c r="G42" s="2"/>
      <c r="H42" s="2"/>
    </row>
    <row r="43" spans="2:8" ht="15.95" customHeight="1">
      <c r="B43" s="4"/>
      <c r="C43" s="2"/>
      <c r="D43" s="13"/>
      <c r="E43" s="2"/>
      <c r="F43" s="4"/>
      <c r="G43" s="2"/>
      <c r="H43" s="2"/>
    </row>
    <row r="44" spans="2:8">
      <c r="B44" s="4"/>
      <c r="C44" s="2"/>
      <c r="D44" s="13"/>
      <c r="E44" s="2"/>
      <c r="F44" s="4"/>
      <c r="G44" s="2"/>
      <c r="H44" s="2"/>
    </row>
    <row r="45" spans="2:8">
      <c r="G45" s="4"/>
      <c r="H45" s="4"/>
    </row>
    <row r="46" spans="2:8">
      <c r="B46" s="212" t="s">
        <v>378</v>
      </c>
      <c r="C46" s="213" t="s">
        <v>779</v>
      </c>
      <c r="D46" s="214"/>
      <c r="E46" s="212" t="s">
        <v>386</v>
      </c>
      <c r="F46" s="212"/>
      <c r="G46" s="215"/>
      <c r="H46" s="213" t="s">
        <v>399</v>
      </c>
    </row>
    <row r="47" spans="2:8">
      <c r="B47" s="49" t="s">
        <v>379</v>
      </c>
      <c r="C47" s="45">
        <f>D7</f>
        <v>66</v>
      </c>
      <c r="D47" s="49"/>
      <c r="E47" s="49" t="s">
        <v>387</v>
      </c>
      <c r="F47" s="49"/>
      <c r="G47" s="311">
        <f>E7</f>
        <v>9</v>
      </c>
      <c r="H47" s="311"/>
    </row>
    <row r="48" spans="2:8">
      <c r="B48" s="49" t="s">
        <v>380</v>
      </c>
      <c r="C48" s="50">
        <f>C12</f>
        <v>15</v>
      </c>
      <c r="D48" s="49"/>
      <c r="E48" s="49" t="s">
        <v>388</v>
      </c>
      <c r="F48" s="49"/>
      <c r="G48" s="311">
        <f>D12</f>
        <v>8.75</v>
      </c>
      <c r="H48" s="311"/>
    </row>
    <row r="49" spans="2:8">
      <c r="B49" s="49" t="s">
        <v>381</v>
      </c>
      <c r="C49" s="50">
        <f>C15</f>
        <v>70</v>
      </c>
      <c r="D49" s="49"/>
      <c r="E49" s="49" t="s">
        <v>389</v>
      </c>
      <c r="F49" s="49"/>
      <c r="G49" s="311">
        <f>D15</f>
        <v>0.62</v>
      </c>
      <c r="H49" s="311"/>
    </row>
    <row r="50" spans="2:8">
      <c r="B50" s="49" t="s">
        <v>382</v>
      </c>
      <c r="C50" s="50">
        <f>C16</f>
        <v>50</v>
      </c>
      <c r="D50" s="49"/>
      <c r="E50" s="49" t="s">
        <v>390</v>
      </c>
      <c r="F50" s="49"/>
      <c r="G50" s="311">
        <f>D16</f>
        <v>0.41</v>
      </c>
      <c r="H50" s="311"/>
    </row>
    <row r="51" spans="2:8">
      <c r="B51" s="49" t="s">
        <v>383</v>
      </c>
      <c r="C51" s="216">
        <f>C17</f>
        <v>3</v>
      </c>
      <c r="D51" s="49"/>
      <c r="E51" s="49" t="s">
        <v>391</v>
      </c>
      <c r="F51" s="49"/>
      <c r="G51" s="311">
        <f>D17</f>
        <v>27.5</v>
      </c>
      <c r="H51" s="311"/>
    </row>
    <row r="52" spans="2:8">
      <c r="B52" s="49" t="s">
        <v>384</v>
      </c>
      <c r="C52" s="50">
        <f>Inputs!E23+'Alfalfa Establishment'!C76</f>
        <v>2.4728603083615104</v>
      </c>
      <c r="D52" s="49"/>
      <c r="E52" s="49" t="s">
        <v>802</v>
      </c>
      <c r="F52" s="49"/>
      <c r="G52" s="311">
        <f>Inputs!D28</f>
        <v>17.309999999999999</v>
      </c>
      <c r="H52" s="311"/>
    </row>
    <row r="53" spans="2:8">
      <c r="B53" s="49" t="s">
        <v>385</v>
      </c>
      <c r="C53" s="217">
        <f>D26</f>
        <v>0.09</v>
      </c>
      <c r="D53" s="49"/>
      <c r="E53" s="49" t="s">
        <v>392</v>
      </c>
      <c r="F53" s="49"/>
      <c r="G53" s="311">
        <f>Inputs!D29</f>
        <v>4</v>
      </c>
      <c r="H53" s="311"/>
    </row>
    <row r="54" spans="2:8">
      <c r="B54" s="49"/>
      <c r="C54" s="45"/>
      <c r="D54" s="49"/>
      <c r="E54" s="49"/>
      <c r="F54" s="49"/>
      <c r="G54" s="49"/>
      <c r="H54" s="49"/>
    </row>
    <row r="55" spans="2:8">
      <c r="B55" s="49"/>
      <c r="C55" s="45"/>
      <c r="D55" s="49"/>
      <c r="E55" s="49"/>
      <c r="F55" s="49"/>
      <c r="G55" s="49"/>
      <c r="H55" s="49"/>
    </row>
    <row r="56" spans="2:8">
      <c r="B56" s="49" t="s">
        <v>751</v>
      </c>
      <c r="C56" s="160" t="s">
        <v>756</v>
      </c>
      <c r="D56" s="49"/>
      <c r="E56" s="49"/>
      <c r="F56" s="49"/>
      <c r="G56" s="49"/>
      <c r="H56" s="49"/>
    </row>
    <row r="57" spans="2:8">
      <c r="B57" s="312" t="s">
        <v>480</v>
      </c>
      <c r="C57" s="312"/>
      <c r="D57" s="181" t="s">
        <v>698</v>
      </c>
      <c r="E57" s="174" t="s">
        <v>742</v>
      </c>
      <c r="F57" s="137" t="s">
        <v>753</v>
      </c>
      <c r="G57" s="181" t="s">
        <v>754</v>
      </c>
      <c r="H57" s="181" t="s">
        <v>755</v>
      </c>
    </row>
    <row r="58" spans="2:8">
      <c r="B58" s="313" t="str">
        <f>'Custom Hire'!B6</f>
        <v xml:space="preserve">Apply dry fertilizer on cropland, single spread </v>
      </c>
      <c r="C58" s="313"/>
      <c r="D58" s="218">
        <f>'Custom Hire'!E6</f>
        <v>2</v>
      </c>
      <c r="E58" s="219">
        <f>'Custom Hire'!C6</f>
        <v>7.02</v>
      </c>
      <c r="F58" s="145" t="str">
        <f>'Custom Hire'!D6</f>
        <v>per acre</v>
      </c>
      <c r="G58" s="49" t="str">
        <f>IF(F58="per acre","",IF(F58="per bale",$D$7,'Alfalfa Establishment'!$D$7*Inputs!$E$25/2000))</f>
        <v/>
      </c>
      <c r="H58" s="146">
        <f>E58*MAX(D58,G58)</f>
        <v>14.04</v>
      </c>
    </row>
    <row r="59" spans="2:8">
      <c r="B59" s="314" t="str">
        <f>'Custom Hire'!B7</f>
        <v>Accumulate and stack small square bales and haul locally (mechanical collection)</v>
      </c>
      <c r="C59" s="314"/>
      <c r="D59" s="218">
        <f>'Custom Hire'!E7</f>
        <v>0</v>
      </c>
      <c r="E59" s="171">
        <f>'Custom Hire'!C7</f>
        <v>0.9</v>
      </c>
      <c r="F59" s="49" t="str">
        <f>'Custom Hire'!D7</f>
        <v>per bale</v>
      </c>
      <c r="G59" s="49">
        <f>IF(F59="per acre","",IF(F59="per bale",$D$7,'Alfalfa Establishment'!$D$7*Inputs!$E$25/2000))</f>
        <v>66</v>
      </c>
      <c r="H59" s="146">
        <f t="shared" ref="H59:H60" si="1">E59*MAX(D59,G59)</f>
        <v>59.4</v>
      </c>
    </row>
    <row r="60" spans="2:8">
      <c r="B60" s="312" t="str">
        <f>'Custom Hire'!B8</f>
        <v>None</v>
      </c>
      <c r="C60" s="312"/>
      <c r="D60" s="220">
        <f>'Custom Hire'!E8</f>
        <v>0</v>
      </c>
      <c r="E60" s="221">
        <f>'Custom Hire'!C8</f>
        <v>0</v>
      </c>
      <c r="F60" s="137" t="str">
        <f>'Custom Hire'!D8</f>
        <v>per acre</v>
      </c>
      <c r="G60" s="137" t="str">
        <f>IF(F60="per acre","",IF(F60="per bale",$D$7,'Alfalfa Establishment'!$D$7*Inputs!$E$25/2000))</f>
        <v/>
      </c>
      <c r="H60" s="147">
        <f t="shared" si="1"/>
        <v>0</v>
      </c>
    </row>
    <row r="61" spans="2:8">
      <c r="B61" s="45" t="s">
        <v>468</v>
      </c>
      <c r="C61" s="139"/>
      <c r="D61" s="140"/>
      <c r="E61" s="222"/>
      <c r="F61" s="139"/>
      <c r="G61" s="139"/>
      <c r="H61" s="146">
        <f>SUM(H58:H60)</f>
        <v>73.44</v>
      </c>
    </row>
    <row r="62" spans="2:8">
      <c r="B62" s="49"/>
      <c r="C62" s="49"/>
      <c r="D62" s="49"/>
      <c r="E62" s="49"/>
      <c r="F62" s="49"/>
      <c r="G62" s="49"/>
      <c r="H62" s="49"/>
    </row>
    <row r="63" spans="2:8">
      <c r="B63" s="49" t="s">
        <v>772</v>
      </c>
      <c r="C63" s="223" t="s">
        <v>704</v>
      </c>
      <c r="D63" s="26"/>
      <c r="E63" s="26"/>
      <c r="F63" s="26"/>
      <c r="G63" s="26"/>
      <c r="H63" s="25"/>
    </row>
    <row r="64" spans="2:8" ht="16.5" customHeight="1">
      <c r="B64" s="25"/>
      <c r="C64" s="26" t="s">
        <v>394</v>
      </c>
      <c r="D64" s="26" t="s">
        <v>395</v>
      </c>
      <c r="E64" s="26" t="s">
        <v>422</v>
      </c>
      <c r="F64" s="26" t="s">
        <v>423</v>
      </c>
      <c r="G64" s="26"/>
      <c r="H64" s="26" t="s">
        <v>424</v>
      </c>
    </row>
    <row r="65" spans="2:8">
      <c r="B65" s="25"/>
      <c r="C65" s="26" t="s">
        <v>425</v>
      </c>
      <c r="D65" s="26" t="s">
        <v>426</v>
      </c>
      <c r="E65" s="26" t="s">
        <v>720</v>
      </c>
      <c r="F65" s="26" t="s">
        <v>433</v>
      </c>
      <c r="G65" s="26" t="s">
        <v>698</v>
      </c>
      <c r="H65" s="26" t="s">
        <v>427</v>
      </c>
    </row>
    <row r="66" spans="2:8">
      <c r="B66" s="27" t="s">
        <v>397</v>
      </c>
      <c r="C66" s="28" t="s">
        <v>398</v>
      </c>
      <c r="D66" s="28" t="s">
        <v>398</v>
      </c>
      <c r="E66" s="28" t="s">
        <v>428</v>
      </c>
      <c r="F66" s="28" t="s">
        <v>428</v>
      </c>
      <c r="G66" s="28" t="s">
        <v>398</v>
      </c>
      <c r="H66" s="28" t="s">
        <v>721</v>
      </c>
    </row>
    <row r="67" spans="2:8">
      <c r="B67" s="25" t="str">
        <f>CONCATENATE(Equipment!B8," - ",Equipment!C8)</f>
        <v>Chisel plow, front dsk , 16 Ft Folding - 160 HP MFWD</v>
      </c>
      <c r="C67" s="130">
        <f>Equipment!E8</f>
        <v>0.12375</v>
      </c>
      <c r="D67" s="130">
        <f>Equipment!D8</f>
        <v>0.93952941176470584</v>
      </c>
      <c r="E67" s="130">
        <f>Equipment!F8</f>
        <v>7.5043760376944153</v>
      </c>
      <c r="F67" s="130">
        <f>Equipment!G8</f>
        <v>9.8251103346413835</v>
      </c>
      <c r="G67" s="130">
        <f>Equipment!H8</f>
        <v>1</v>
      </c>
      <c r="H67" s="224">
        <f>Equipment!I8</f>
        <v>17.329486372335801</v>
      </c>
    </row>
    <row r="68" spans="2:8">
      <c r="B68" s="25" t="str">
        <f>CONCATENATE(Equipment!B9," - ",Equipment!C9)</f>
        <v>Tandem disk, 21 Ft Folding - 160 HP MFWD</v>
      </c>
      <c r="C68" s="26">
        <f>Equipment!E9</f>
        <v>8.3482142857142852E-2</v>
      </c>
      <c r="D68" s="26">
        <f>Equipment!D9</f>
        <v>0.63380952380952371</v>
      </c>
      <c r="E68" s="26">
        <f>Equipment!F9</f>
        <v>6.0559996359953674</v>
      </c>
      <c r="F68" s="26">
        <f>Equipment!G9</f>
        <v>9.6306540886643663</v>
      </c>
      <c r="G68" s="26">
        <f>Equipment!H9</f>
        <v>1</v>
      </c>
      <c r="H68" s="225">
        <f>Equipment!I9</f>
        <v>15.686653724659735</v>
      </c>
    </row>
    <row r="69" spans="2:8">
      <c r="B69" s="25" t="str">
        <f>CONCATENATE(Equipment!B10," - ",Equipment!C10)</f>
        <v>Cultimulcher, 21 Ft Folding - 160 HP MFWD</v>
      </c>
      <c r="C69" s="26">
        <f>Equipment!E10</f>
        <v>8.3482142857142852E-2</v>
      </c>
      <c r="D69" s="26">
        <f>Equipment!D10</f>
        <v>0.63380952380952371</v>
      </c>
      <c r="E69" s="26">
        <f>Equipment!F10</f>
        <v>5.428930786260592</v>
      </c>
      <c r="F69" s="26">
        <f>Equipment!G10</f>
        <v>9.5107068310335396</v>
      </c>
      <c r="G69" s="26">
        <f>Equipment!H10</f>
        <v>1</v>
      </c>
      <c r="H69" s="225">
        <f>Equipment!I10</f>
        <v>14.939637617294132</v>
      </c>
    </row>
    <row r="70" spans="2:8">
      <c r="B70" s="25" t="str">
        <f>CONCATENATE(Equipment!B11," - ",Equipment!C11)</f>
        <v>Presswheel drill, 16 Ft - 105 HP MFWD</v>
      </c>
      <c r="C70" s="26">
        <f>Equipment!E11</f>
        <v>0.16352678571428572</v>
      </c>
      <c r="D70" s="26">
        <f>Equipment!D11</f>
        <v>0.74868750000000017</v>
      </c>
      <c r="E70" s="26">
        <f>Equipment!F11</f>
        <v>7.6107961576625005</v>
      </c>
      <c r="F70" s="26">
        <f>Equipment!G11</f>
        <v>9.0215808656999545</v>
      </c>
      <c r="G70" s="26">
        <f>Equipment!H11</f>
        <v>1</v>
      </c>
      <c r="H70" s="225">
        <f>Equipment!I11</f>
        <v>16.632377023362455</v>
      </c>
    </row>
    <row r="71" spans="2:8">
      <c r="B71" s="25" t="str">
        <f>CONCATENATE(Equipment!B12," - ",Equipment!C12)</f>
        <v>Boom sprayer - pull-type, 90 Ft Folding - 160 HP MFWD</v>
      </c>
      <c r="C71" s="26">
        <f>Equipment!E12</f>
        <v>2.7120315581854043E-2</v>
      </c>
      <c r="D71" s="26">
        <f>Equipment!D12</f>
        <v>0.16801577909270216</v>
      </c>
      <c r="E71" s="26">
        <f>Equipment!F12</f>
        <v>1.645616351061465</v>
      </c>
      <c r="F71" s="26">
        <f>Equipment!G12</f>
        <v>5.2302880883026779</v>
      </c>
      <c r="G71" s="26">
        <f>Equipment!H12</f>
        <v>2</v>
      </c>
      <c r="H71" s="225">
        <f>Equipment!I12</f>
        <v>13.751808878728285</v>
      </c>
    </row>
    <row r="72" spans="2:8">
      <c r="B72" s="25" t="str">
        <f>CONCATENATE(Equipment!B13," - ",Equipment!C13)</f>
        <v>Disk mower/conditioner, 12 Ft - 105 HP MFWD</v>
      </c>
      <c r="C72" s="26">
        <f>Equipment!E13</f>
        <v>0.13882211538461536</v>
      </c>
      <c r="D72" s="26">
        <f>Equipment!D13</f>
        <v>0.67189903846153842</v>
      </c>
      <c r="E72" s="26">
        <f>Equipment!F13</f>
        <v>6.5184034455128197</v>
      </c>
      <c r="F72" s="26">
        <f>Equipment!G13</f>
        <v>10.145717389525025</v>
      </c>
      <c r="G72" s="26">
        <f>Equipment!H13</f>
        <v>2</v>
      </c>
      <c r="H72" s="225">
        <f>Equipment!I13</f>
        <v>33.328241670075691</v>
      </c>
    </row>
    <row r="73" spans="2:8">
      <c r="B73" s="25" t="str">
        <f>CONCATENATE(Equipment!B14," - ",Equipment!C14)</f>
        <v>Hay rake, 20 Ft Folding - 75 HP TWD</v>
      </c>
      <c r="C73" s="26">
        <f>Equipment!E14</f>
        <v>6.5742187500000007E-2</v>
      </c>
      <c r="D73" s="26">
        <f>Equipment!D14</f>
        <v>0.23396484374999998</v>
      </c>
      <c r="E73" s="26">
        <f>Equipment!F14</f>
        <v>2.3501172393831915</v>
      </c>
      <c r="F73" s="26">
        <f>Equipment!G14</f>
        <v>1.780662339858796</v>
      </c>
      <c r="G73" s="26">
        <f>Equipment!H14</f>
        <v>2</v>
      </c>
      <c r="H73" s="225">
        <f>Equipment!I14</f>
        <v>8.2615591584839745</v>
      </c>
    </row>
    <row r="74" spans="2:8">
      <c r="B74" s="25" t="str">
        <f>CONCATENATE(Equipment!B15," - ",Equipment!C15)</f>
        <v>Small square baler, twine tie, 20 Ft - 105 HP MFWD</v>
      </c>
      <c r="C74" s="26">
        <f>Equipment!E15</f>
        <v>0.15262500000000004</v>
      </c>
      <c r="D74" s="26">
        <f>Equipment!D15</f>
        <v>0.69877500000000015</v>
      </c>
      <c r="E74" s="26">
        <f>Equipment!F15</f>
        <v>8.3673663522456376</v>
      </c>
      <c r="F74" s="26">
        <f>Equipment!G15</f>
        <v>5.2140121410029261</v>
      </c>
      <c r="G74" s="26">
        <f>Equipment!H15</f>
        <v>2</v>
      </c>
      <c r="H74" s="225">
        <f>Equipment!I15</f>
        <v>27.162756986497129</v>
      </c>
    </row>
    <row r="75" spans="2:8">
      <c r="B75" s="27" t="str">
        <f>Equipment!B16</f>
        <v>Pickup truck</v>
      </c>
      <c r="C75" s="28"/>
      <c r="D75" s="28"/>
      <c r="E75" s="28">
        <f>Equipment!F16</f>
        <v>7</v>
      </c>
      <c r="F75" s="28">
        <f>Equipment!G16</f>
        <v>7</v>
      </c>
      <c r="G75" s="28"/>
      <c r="H75" s="226">
        <f>Equipment!I16</f>
        <v>14</v>
      </c>
    </row>
    <row r="76" spans="2:8">
      <c r="B76" s="26" t="s">
        <v>468</v>
      </c>
      <c r="C76" s="26">
        <f>SUMPRODUCT(C67:C75,G67:G75)</f>
        <v>1.2228603083615102</v>
      </c>
      <c r="D76" s="26">
        <f>SUMPRODUCT(D67:D75,G67:G75)</f>
        <v>6.5011452819922351</v>
      </c>
      <c r="E76" s="26">
        <f>SUMPRODUCT(E67:E74,G67:G74)+E75</f>
        <v>71.363109394019105</v>
      </c>
      <c r="F76" s="26">
        <f>SUMPRODUCT(F67:F74,G67:G74)+F75</f>
        <v>89.729412037418086</v>
      </c>
      <c r="G76" s="132">
        <f>SUM(G67:G75)</f>
        <v>12</v>
      </c>
      <c r="H76" s="26">
        <f t="shared" ref="H76" si="2">SUM(H67:H75)</f>
        <v>161.09252143143721</v>
      </c>
    </row>
    <row r="77" spans="2:8" s="22" customFormat="1">
      <c r="B77" s="49" t="s">
        <v>776</v>
      </c>
      <c r="C77" s="49"/>
      <c r="D77" s="49"/>
      <c r="E77" s="49"/>
      <c r="F77" s="49"/>
      <c r="G77" s="49"/>
      <c r="H77" s="49"/>
    </row>
    <row r="78" spans="2:8">
      <c r="B78" s="49" t="s">
        <v>777</v>
      </c>
      <c r="C78" s="49"/>
      <c r="D78" s="49"/>
      <c r="E78" s="49"/>
      <c r="F78" s="49"/>
      <c r="G78" s="49"/>
      <c r="H78" s="169"/>
    </row>
    <row r="79" spans="2:8">
      <c r="B79" s="49" t="s">
        <v>778</v>
      </c>
      <c r="C79" s="49"/>
      <c r="D79" s="49"/>
      <c r="E79" s="49"/>
      <c r="F79" s="49"/>
      <c r="G79" s="49"/>
      <c r="H79" s="49"/>
    </row>
    <row r="80" spans="2:8">
      <c r="B80" s="49"/>
      <c r="C80" s="169"/>
      <c r="D80" s="49"/>
      <c r="E80" s="49"/>
      <c r="F80" s="49"/>
      <c r="G80" s="49"/>
      <c r="H80" s="49"/>
    </row>
    <row r="81" spans="2:8">
      <c r="B81" s="49" t="s">
        <v>725</v>
      </c>
      <c r="C81" s="49"/>
      <c r="D81" s="49"/>
      <c r="E81" s="49"/>
      <c r="F81" s="49"/>
      <c r="G81" s="49"/>
      <c r="H81" s="49"/>
    </row>
    <row r="82" spans="2:8">
      <c r="B82" s="49" t="s">
        <v>726</v>
      </c>
      <c r="C82" s="49"/>
      <c r="D82" s="49"/>
      <c r="E82" s="49"/>
      <c r="F82" s="49"/>
      <c r="G82" s="49"/>
      <c r="H82" s="49"/>
    </row>
    <row r="83" spans="2:8">
      <c r="B83" s="49" t="s">
        <v>727</v>
      </c>
      <c r="C83" s="49"/>
      <c r="D83" s="49"/>
      <c r="E83" s="49"/>
      <c r="F83" s="49"/>
      <c r="G83" s="49"/>
      <c r="H83" s="49"/>
    </row>
    <row r="84" spans="2:8">
      <c r="B84" s="49" t="s">
        <v>728</v>
      </c>
      <c r="C84" s="49"/>
      <c r="D84" s="49"/>
      <c r="E84" s="49"/>
      <c r="F84" s="49"/>
      <c r="G84" s="49"/>
      <c r="H84" s="49"/>
    </row>
    <row r="781" spans="2:3" hidden="1">
      <c r="B781" s="1" t="s">
        <v>48</v>
      </c>
    </row>
    <row r="782" spans="2:3" hidden="1">
      <c r="B782" s="1" t="s">
        <v>49</v>
      </c>
      <c r="C782" s="1">
        <v>6</v>
      </c>
    </row>
    <row r="783" spans="2:3" hidden="1">
      <c r="B783" s="1" t="s">
        <v>50</v>
      </c>
      <c r="C783" s="1">
        <v>1</v>
      </c>
    </row>
    <row r="784" spans="2:3" hidden="1">
      <c r="B784" s="1" t="s">
        <v>51</v>
      </c>
      <c r="C784" s="1">
        <v>1</v>
      </c>
    </row>
    <row r="785" spans="2:3" hidden="1">
      <c r="B785" s="1" t="s">
        <v>52</v>
      </c>
      <c r="C785" s="1">
        <v>2</v>
      </c>
    </row>
    <row r="786" spans="2:3" hidden="1">
      <c r="B786" s="1" t="s">
        <v>53</v>
      </c>
      <c r="C786" s="1">
        <v>1</v>
      </c>
    </row>
    <row r="787" spans="2:3" hidden="1">
      <c r="B787" s="1" t="s">
        <v>54</v>
      </c>
      <c r="C787" s="1">
        <v>0</v>
      </c>
    </row>
    <row r="788" spans="2:3" hidden="1">
      <c r="B788" s="1" t="s">
        <v>55</v>
      </c>
      <c r="C788" s="1">
        <v>0</v>
      </c>
    </row>
    <row r="789" spans="2:3" hidden="1">
      <c r="B789" s="1" t="s">
        <v>56</v>
      </c>
      <c r="C789" s="1">
        <v>0</v>
      </c>
    </row>
    <row r="790" spans="2:3" hidden="1">
      <c r="B790" s="1" t="s">
        <v>57</v>
      </c>
      <c r="C790" s="1">
        <v>0</v>
      </c>
    </row>
    <row r="791" spans="2:3" hidden="1">
      <c r="B791" s="1" t="s">
        <v>58</v>
      </c>
      <c r="C791" s="1">
        <v>0</v>
      </c>
    </row>
    <row r="792" spans="2:3" hidden="1">
      <c r="B792" s="1" t="s">
        <v>59</v>
      </c>
      <c r="C792" s="1">
        <v>0</v>
      </c>
    </row>
    <row r="793" spans="2:3" hidden="1">
      <c r="B793" s="1" t="s">
        <v>60</v>
      </c>
      <c r="C793" s="1" t="b">
        <v>1</v>
      </c>
    </row>
    <row r="794" spans="2:3" hidden="1">
      <c r="B794" s="1" t="s">
        <v>61</v>
      </c>
      <c r="C794" s="1">
        <v>0</v>
      </c>
    </row>
    <row r="795" spans="2:3" hidden="1">
      <c r="B795" s="1" t="s">
        <v>62</v>
      </c>
      <c r="C795" s="1" t="b">
        <v>1</v>
      </c>
    </row>
    <row r="796" spans="2:3" hidden="1">
      <c r="B796" s="1" t="s">
        <v>63</v>
      </c>
      <c r="C796" s="1">
        <v>0</v>
      </c>
    </row>
    <row r="797" spans="2:3" hidden="1">
      <c r="B797" s="1" t="s">
        <v>64</v>
      </c>
      <c r="C797" s="1">
        <v>0</v>
      </c>
    </row>
    <row r="798" spans="2:3" hidden="1">
      <c r="B798" s="1" t="s">
        <v>65</v>
      </c>
      <c r="C798" s="1">
        <v>0</v>
      </c>
    </row>
    <row r="799" spans="2:3" hidden="1">
      <c r="B799" s="1" t="s">
        <v>66</v>
      </c>
      <c r="C799" s="1">
        <v>0</v>
      </c>
    </row>
    <row r="800" spans="2:3" hidden="1">
      <c r="B800" s="1" t="s">
        <v>67</v>
      </c>
      <c r="C800" s="1">
        <v>0</v>
      </c>
    </row>
    <row r="801" spans="2:3" hidden="1">
      <c r="B801" s="1" t="s">
        <v>68</v>
      </c>
      <c r="C801" s="1">
        <v>0</v>
      </c>
    </row>
    <row r="802" spans="2:3" hidden="1">
      <c r="B802" s="1" t="s">
        <v>69</v>
      </c>
      <c r="C802" s="1">
        <v>0</v>
      </c>
    </row>
    <row r="803" spans="2:3" hidden="1">
      <c r="B803" s="1" t="s">
        <v>70</v>
      </c>
      <c r="C803" s="1" t="s">
        <v>71</v>
      </c>
    </row>
    <row r="804" spans="2:3" hidden="1">
      <c r="B804" s="1" t="s">
        <v>72</v>
      </c>
      <c r="C804" s="1">
        <v>100</v>
      </c>
    </row>
    <row r="805" spans="2:3" hidden="1">
      <c r="B805" s="1" t="s">
        <v>73</v>
      </c>
      <c r="C805" s="1">
        <v>55</v>
      </c>
    </row>
    <row r="806" spans="2:3" hidden="1">
      <c r="B806" s="1" t="s">
        <v>74</v>
      </c>
      <c r="C806" s="1">
        <v>5.3</v>
      </c>
    </row>
    <row r="807" spans="2:3" hidden="1">
      <c r="B807" s="1" t="s">
        <v>75</v>
      </c>
      <c r="C807" s="1">
        <v>0</v>
      </c>
    </row>
    <row r="808" spans="2:3" hidden="1">
      <c r="B808" s="1" t="s">
        <v>76</v>
      </c>
      <c r="C808" s="1">
        <v>0</v>
      </c>
    </row>
    <row r="809" spans="2:3" hidden="1">
      <c r="B809" s="1" t="s">
        <v>77</v>
      </c>
      <c r="C809" s="1">
        <v>0</v>
      </c>
    </row>
    <row r="810" spans="2:3" hidden="1">
      <c r="B810" s="1" t="s">
        <v>78</v>
      </c>
      <c r="C810" s="1">
        <v>0</v>
      </c>
    </row>
    <row r="811" spans="2:3" hidden="1">
      <c r="B811" s="1" t="s">
        <v>79</v>
      </c>
      <c r="C811" s="1">
        <v>0</v>
      </c>
    </row>
    <row r="812" spans="2:3" hidden="1">
      <c r="B812" s="1" t="s">
        <v>80</v>
      </c>
      <c r="C812" s="1">
        <v>0</v>
      </c>
    </row>
    <row r="813" spans="2:3" hidden="1">
      <c r="B813" s="1" t="s">
        <v>81</v>
      </c>
      <c r="C813" s="1">
        <v>0</v>
      </c>
    </row>
    <row r="814" spans="2:3" hidden="1">
      <c r="B814" s="1" t="s">
        <v>82</v>
      </c>
      <c r="C814" s="1">
        <v>18</v>
      </c>
    </row>
    <row r="815" spans="2:3" hidden="1">
      <c r="B815" s="1" t="s">
        <v>83</v>
      </c>
      <c r="C815" s="1">
        <v>0</v>
      </c>
    </row>
    <row r="816" spans="2:3" hidden="1">
      <c r="B816" s="1" t="s">
        <v>84</v>
      </c>
      <c r="C816" s="1">
        <v>0</v>
      </c>
    </row>
    <row r="817" spans="2:3" hidden="1">
      <c r="B817" s="1" t="s">
        <v>85</v>
      </c>
      <c r="C817" s="1">
        <v>0</v>
      </c>
    </row>
    <row r="818" spans="2:3" hidden="1">
      <c r="B818" s="1" t="s">
        <v>86</v>
      </c>
      <c r="C818" s="1">
        <v>0</v>
      </c>
    </row>
    <row r="819" spans="2:3" hidden="1">
      <c r="B819" s="1" t="s">
        <v>87</v>
      </c>
      <c r="C819" s="1">
        <v>0</v>
      </c>
    </row>
    <row r="820" spans="2:3" hidden="1">
      <c r="B820" s="1" t="s">
        <v>88</v>
      </c>
      <c r="C820" s="1">
        <v>100</v>
      </c>
    </row>
    <row r="821" spans="2:3" hidden="1">
      <c r="B821" s="1" t="s">
        <v>89</v>
      </c>
      <c r="C821" s="1">
        <v>0</v>
      </c>
    </row>
    <row r="822" spans="2:3" hidden="1">
      <c r="B822" s="1" t="s">
        <v>90</v>
      </c>
      <c r="C822" s="1">
        <v>0</v>
      </c>
    </row>
    <row r="823" spans="2:3" hidden="1">
      <c r="B823" s="1" t="s">
        <v>91</v>
      </c>
      <c r="C823" s="1">
        <v>0</v>
      </c>
    </row>
    <row r="824" spans="2:3" hidden="1">
      <c r="B824" s="1" t="s">
        <v>92</v>
      </c>
      <c r="C824" s="1">
        <v>75</v>
      </c>
    </row>
    <row r="825" spans="2:3" hidden="1">
      <c r="B825" s="1" t="s">
        <v>93</v>
      </c>
      <c r="C825" s="1">
        <v>0</v>
      </c>
    </row>
    <row r="826" spans="2:3" hidden="1">
      <c r="B826" s="1" t="s">
        <v>94</v>
      </c>
      <c r="C826" s="1">
        <v>35</v>
      </c>
    </row>
    <row r="827" spans="2:3" hidden="1">
      <c r="B827" s="1" t="s">
        <v>95</v>
      </c>
      <c r="C827" s="1">
        <v>20</v>
      </c>
    </row>
    <row r="828" spans="2:3" hidden="1">
      <c r="B828" s="1" t="s">
        <v>96</v>
      </c>
      <c r="C828" s="1">
        <v>0.5</v>
      </c>
    </row>
    <row r="829" spans="2:3" hidden="1">
      <c r="B829" s="1" t="s">
        <v>97</v>
      </c>
      <c r="C829" s="1">
        <v>10</v>
      </c>
    </row>
    <row r="830" spans="2:3" hidden="1">
      <c r="B830" s="1" t="s">
        <v>98</v>
      </c>
      <c r="C830" s="1">
        <v>0</v>
      </c>
    </row>
    <row r="831" spans="2:3" hidden="1">
      <c r="B831" s="1" t="s">
        <v>99</v>
      </c>
      <c r="C831" s="1">
        <v>0</v>
      </c>
    </row>
    <row r="832" spans="2:3" hidden="1">
      <c r="B832" s="1" t="s">
        <v>100</v>
      </c>
      <c r="C832" s="1">
        <v>0.53</v>
      </c>
    </row>
    <row r="833" spans="2:3" hidden="1">
      <c r="B833" s="1" t="s">
        <v>101</v>
      </c>
      <c r="C833" s="1">
        <v>0</v>
      </c>
    </row>
    <row r="834" spans="2:3" hidden="1">
      <c r="B834" s="1" t="s">
        <v>102</v>
      </c>
      <c r="C834" s="1">
        <v>0.49</v>
      </c>
    </row>
    <row r="835" spans="2:3" hidden="1">
      <c r="B835" s="1" t="s">
        <v>103</v>
      </c>
      <c r="C835" s="1">
        <v>0.4</v>
      </c>
    </row>
    <row r="836" spans="2:3" hidden="1">
      <c r="B836" s="1" t="s">
        <v>104</v>
      </c>
      <c r="C836" s="1">
        <v>15</v>
      </c>
    </row>
    <row r="837" spans="2:3" hidden="1">
      <c r="B837" s="1" t="s">
        <v>105</v>
      </c>
      <c r="C837" s="1">
        <v>0.55000000000000004</v>
      </c>
    </row>
    <row r="838" spans="2:3" hidden="1">
      <c r="B838" s="1" t="s">
        <v>106</v>
      </c>
      <c r="C838" s="1">
        <v>0</v>
      </c>
    </row>
    <row r="839" spans="2:3" hidden="1">
      <c r="B839" s="1" t="s">
        <v>107</v>
      </c>
      <c r="C839" s="1">
        <v>0</v>
      </c>
    </row>
    <row r="840" spans="2:3" hidden="1">
      <c r="B840" s="1" t="s">
        <v>108</v>
      </c>
      <c r="C840" s="1">
        <v>0</v>
      </c>
    </row>
    <row r="841" spans="2:3" hidden="1">
      <c r="B841" s="1" t="s">
        <v>109</v>
      </c>
      <c r="C841" s="1">
        <v>0</v>
      </c>
    </row>
    <row r="842" spans="2:3" hidden="1">
      <c r="B842" s="1" t="s">
        <v>110</v>
      </c>
      <c r="C842" s="1">
        <v>1</v>
      </c>
    </row>
    <row r="843" spans="2:3" hidden="1">
      <c r="B843" s="1" t="s">
        <v>111</v>
      </c>
      <c r="C843" s="1">
        <v>0</v>
      </c>
    </row>
    <row r="844" spans="2:3" hidden="1">
      <c r="B844" s="1" t="s">
        <v>112</v>
      </c>
      <c r="C844" s="1">
        <v>0</v>
      </c>
    </row>
    <row r="845" spans="2:3" hidden="1">
      <c r="B845" s="1" t="s">
        <v>113</v>
      </c>
      <c r="C845" s="1">
        <v>0</v>
      </c>
    </row>
    <row r="846" spans="2:3" hidden="1">
      <c r="B846" s="1" t="s">
        <v>114</v>
      </c>
      <c r="C846" s="1">
        <v>0</v>
      </c>
    </row>
    <row r="847" spans="2:3" hidden="1">
      <c r="B847" s="1" t="s">
        <v>115</v>
      </c>
      <c r="C847" s="1">
        <v>0</v>
      </c>
    </row>
    <row r="848" spans="2:3" hidden="1">
      <c r="B848" s="1" t="s">
        <v>116</v>
      </c>
      <c r="C848" s="1">
        <v>0</v>
      </c>
    </row>
    <row r="849" spans="2:3" hidden="1">
      <c r="B849" s="1" t="s">
        <v>117</v>
      </c>
      <c r="C849" s="1">
        <v>0</v>
      </c>
    </row>
    <row r="850" spans="2:3" hidden="1">
      <c r="B850" s="1" t="s">
        <v>118</v>
      </c>
      <c r="C850" s="1">
        <v>19.38</v>
      </c>
    </row>
    <row r="851" spans="2:3" hidden="1">
      <c r="B851" s="1" t="s">
        <v>119</v>
      </c>
      <c r="C851" s="1">
        <v>0</v>
      </c>
    </row>
    <row r="852" spans="2:3" hidden="1">
      <c r="B852" s="1" t="s">
        <v>120</v>
      </c>
      <c r="C852" s="1">
        <v>0</v>
      </c>
    </row>
    <row r="853" spans="2:3" hidden="1">
      <c r="B853" s="1" t="s">
        <v>121</v>
      </c>
      <c r="C853" s="1">
        <v>0</v>
      </c>
    </row>
    <row r="854" spans="2:3" hidden="1">
      <c r="B854" s="1" t="s">
        <v>122</v>
      </c>
      <c r="C854" s="1">
        <v>0</v>
      </c>
    </row>
    <row r="855" spans="2:3" hidden="1">
      <c r="B855" s="1" t="s">
        <v>123</v>
      </c>
      <c r="C855" s="1">
        <v>0</v>
      </c>
    </row>
    <row r="856" spans="2:3" hidden="1">
      <c r="B856" s="1" t="s">
        <v>124</v>
      </c>
      <c r="C856" s="1">
        <v>0</v>
      </c>
    </row>
    <row r="857" spans="2:3" hidden="1">
      <c r="B857" s="1" t="s">
        <v>125</v>
      </c>
      <c r="C857" s="1">
        <v>0</v>
      </c>
    </row>
    <row r="858" spans="2:3" hidden="1">
      <c r="B858" s="1" t="s">
        <v>126</v>
      </c>
      <c r="C858" s="1">
        <v>0</v>
      </c>
    </row>
    <row r="859" spans="2:3" hidden="1">
      <c r="B859" s="1" t="s">
        <v>127</v>
      </c>
      <c r="C859" s="1">
        <v>0</v>
      </c>
    </row>
    <row r="860" spans="2:3" hidden="1">
      <c r="B860" s="1" t="s">
        <v>128</v>
      </c>
      <c r="C860" s="1">
        <v>0</v>
      </c>
    </row>
    <row r="861" spans="2:3" hidden="1">
      <c r="B861" s="1" t="s">
        <v>129</v>
      </c>
      <c r="C861" s="1">
        <v>0</v>
      </c>
    </row>
    <row r="862" spans="2:3" hidden="1">
      <c r="B862" s="1" t="s">
        <v>130</v>
      </c>
      <c r="C862" s="1">
        <v>0</v>
      </c>
    </row>
    <row r="863" spans="2:3" hidden="1">
      <c r="B863" s="1" t="s">
        <v>131</v>
      </c>
      <c r="C863" s="1">
        <v>0</v>
      </c>
    </row>
    <row r="864" spans="2:3" hidden="1">
      <c r="B864" s="1" t="s">
        <v>132</v>
      </c>
      <c r="C864" s="1">
        <v>0</v>
      </c>
    </row>
    <row r="865" spans="2:3" hidden="1">
      <c r="B865" s="1" t="s">
        <v>133</v>
      </c>
      <c r="C865" s="1">
        <v>0.5</v>
      </c>
    </row>
    <row r="866" spans="2:3" hidden="1">
      <c r="B866" s="1" t="s">
        <v>134</v>
      </c>
      <c r="C866" s="1">
        <v>13.5</v>
      </c>
    </row>
    <row r="867" spans="2:3" hidden="1">
      <c r="B867" s="1" t="s">
        <v>135</v>
      </c>
      <c r="C867" s="1">
        <v>18</v>
      </c>
    </row>
    <row r="868" spans="2:3" hidden="1">
      <c r="B868" s="1" t="s">
        <v>136</v>
      </c>
      <c r="C868" s="1">
        <v>0</v>
      </c>
    </row>
    <row r="869" spans="2:3" hidden="1">
      <c r="B869" s="1" t="s">
        <v>137</v>
      </c>
      <c r="C869" s="1">
        <v>0</v>
      </c>
    </row>
    <row r="870" spans="2:3" hidden="1">
      <c r="B870" s="1" t="s">
        <v>138</v>
      </c>
      <c r="C870" s="1">
        <v>0</v>
      </c>
    </row>
    <row r="871" spans="2:3" hidden="1">
      <c r="B871" s="1" t="s">
        <v>139</v>
      </c>
      <c r="C871" s="1">
        <v>3500</v>
      </c>
    </row>
    <row r="872" spans="2:3" hidden="1">
      <c r="B872" s="1" t="s">
        <v>140</v>
      </c>
      <c r="C872" s="1">
        <v>4</v>
      </c>
    </row>
    <row r="873" spans="2:3" hidden="1">
      <c r="B873" s="1" t="s">
        <v>141</v>
      </c>
      <c r="C873" s="1">
        <v>0</v>
      </c>
    </row>
    <row r="874" spans="2:3" hidden="1">
      <c r="B874" s="1" t="s">
        <v>142</v>
      </c>
      <c r="C874" s="1">
        <v>0</v>
      </c>
    </row>
    <row r="875" spans="2:3" hidden="1">
      <c r="B875" s="1" t="s">
        <v>143</v>
      </c>
      <c r="C875" s="1">
        <v>0</v>
      </c>
    </row>
    <row r="876" spans="2:3" hidden="1">
      <c r="B876" s="1" t="s">
        <v>144</v>
      </c>
      <c r="C876" s="1">
        <v>6</v>
      </c>
    </row>
    <row r="877" spans="2:3" hidden="1">
      <c r="B877" s="1" t="s">
        <v>145</v>
      </c>
      <c r="C877" s="1">
        <v>3.65</v>
      </c>
    </row>
    <row r="878" spans="2:3" hidden="1">
      <c r="B878" s="1" t="s">
        <v>146</v>
      </c>
      <c r="C878" s="1">
        <v>3.38</v>
      </c>
    </row>
    <row r="879" spans="2:3" hidden="1">
      <c r="B879" s="1" t="s">
        <v>147</v>
      </c>
      <c r="C879" s="1">
        <v>1</v>
      </c>
    </row>
    <row r="880" spans="2:3" hidden="1">
      <c r="B880" s="1" t="s">
        <v>148</v>
      </c>
      <c r="C880" s="1">
        <v>0</v>
      </c>
    </row>
    <row r="881" spans="2:3" hidden="1">
      <c r="B881" s="1" t="s">
        <v>149</v>
      </c>
      <c r="C881" s="1">
        <v>13</v>
      </c>
    </row>
    <row r="882" spans="2:3" hidden="1">
      <c r="B882" s="1" t="s">
        <v>150</v>
      </c>
      <c r="C882" s="1">
        <v>0</v>
      </c>
    </row>
    <row r="883" spans="2:3" hidden="1">
      <c r="B883" s="1" t="s">
        <v>151</v>
      </c>
      <c r="C883" s="1">
        <v>0</v>
      </c>
    </row>
    <row r="884" spans="2:3" hidden="1">
      <c r="B884" s="1" t="s">
        <v>152</v>
      </c>
      <c r="C884" s="1">
        <v>0</v>
      </c>
    </row>
    <row r="885" spans="2:3" hidden="1">
      <c r="B885" s="1" t="s">
        <v>153</v>
      </c>
      <c r="C885" s="1">
        <v>0</v>
      </c>
    </row>
    <row r="886" spans="2:3" hidden="1">
      <c r="B886" s="1" t="s">
        <v>154</v>
      </c>
      <c r="C886" s="1">
        <v>0</v>
      </c>
    </row>
    <row r="887" spans="2:3" hidden="1">
      <c r="B887" s="1" t="s">
        <v>155</v>
      </c>
      <c r="C887" s="1">
        <v>0</v>
      </c>
    </row>
    <row r="888" spans="2:3" hidden="1">
      <c r="B888" s="1" t="s">
        <v>156</v>
      </c>
      <c r="C888" s="1">
        <v>5</v>
      </c>
    </row>
    <row r="889" spans="2:3" hidden="1">
      <c r="B889" s="1" t="s">
        <v>157</v>
      </c>
      <c r="C889" s="1">
        <v>0</v>
      </c>
    </row>
    <row r="890" spans="2:3" hidden="1">
      <c r="B890" s="1" t="s">
        <v>158</v>
      </c>
      <c r="C890" s="1">
        <v>0</v>
      </c>
    </row>
    <row r="891" spans="2:3" hidden="1">
      <c r="B891" s="1" t="s">
        <v>159</v>
      </c>
      <c r="C891" s="1">
        <v>0</v>
      </c>
    </row>
    <row r="892" spans="2:3" hidden="1">
      <c r="B892" s="1" t="s">
        <v>160</v>
      </c>
      <c r="C892" s="1">
        <v>6800</v>
      </c>
    </row>
    <row r="893" spans="2:3" hidden="1">
      <c r="B893" s="1" t="s">
        <v>161</v>
      </c>
      <c r="C893" s="1">
        <v>0</v>
      </c>
    </row>
    <row r="894" spans="2:3" hidden="1">
      <c r="B894" s="1" t="s">
        <v>162</v>
      </c>
      <c r="C894" s="1">
        <v>0</v>
      </c>
    </row>
    <row r="895" spans="2:3" hidden="1">
      <c r="B895" s="1" t="s">
        <v>163</v>
      </c>
      <c r="C895" s="1">
        <v>8500</v>
      </c>
    </row>
    <row r="896" spans="2:3" hidden="1">
      <c r="B896" s="1" t="s">
        <v>164</v>
      </c>
      <c r="C896" s="1">
        <v>5</v>
      </c>
    </row>
    <row r="897" spans="2:3" hidden="1">
      <c r="B897" s="1" t="s">
        <v>165</v>
      </c>
      <c r="C897" s="1">
        <v>15000</v>
      </c>
    </row>
    <row r="898" spans="2:3" hidden="1">
      <c r="B898" s="1" t="s">
        <v>166</v>
      </c>
      <c r="C898" s="1">
        <v>5</v>
      </c>
    </row>
    <row r="899" spans="2:3" hidden="1">
      <c r="B899" s="1" t="s">
        <v>167</v>
      </c>
      <c r="C899" s="1">
        <v>0</v>
      </c>
    </row>
    <row r="900" spans="2:3" hidden="1">
      <c r="B900" s="1" t="s">
        <v>168</v>
      </c>
      <c r="C900" s="1">
        <v>0</v>
      </c>
    </row>
    <row r="901" spans="2:3" hidden="1">
      <c r="B901" s="1" t="s">
        <v>169</v>
      </c>
      <c r="C901" s="1">
        <v>0</v>
      </c>
    </row>
    <row r="902" spans="2:3" hidden="1">
      <c r="B902" s="1" t="s">
        <v>170</v>
      </c>
      <c r="C902" s="1">
        <v>0</v>
      </c>
    </row>
    <row r="903" spans="2:3" hidden="1">
      <c r="B903" s="1" t="s">
        <v>171</v>
      </c>
      <c r="C903" s="1">
        <v>0</v>
      </c>
    </row>
    <row r="904" spans="2:3" hidden="1">
      <c r="B904" s="1" t="s">
        <v>172</v>
      </c>
      <c r="C904" s="1">
        <v>0</v>
      </c>
    </row>
    <row r="905" spans="2:3" hidden="1">
      <c r="B905" s="1" t="s">
        <v>173</v>
      </c>
      <c r="C905" s="1">
        <v>0</v>
      </c>
    </row>
    <row r="906" spans="2:3" hidden="1">
      <c r="B906" s="1" t="s">
        <v>174</v>
      </c>
      <c r="C906" s="1">
        <v>0</v>
      </c>
    </row>
    <row r="907" spans="2:3" hidden="1">
      <c r="B907" s="1" t="s">
        <v>175</v>
      </c>
      <c r="C907" s="1">
        <v>0</v>
      </c>
    </row>
    <row r="908" spans="2:3" hidden="1">
      <c r="B908" s="1" t="s">
        <v>176</v>
      </c>
      <c r="C908" s="1">
        <v>0</v>
      </c>
    </row>
    <row r="909" spans="2:3" hidden="1">
      <c r="B909" s="1" t="s">
        <v>177</v>
      </c>
      <c r="C909" s="1">
        <v>0</v>
      </c>
    </row>
    <row r="910" spans="2:3" hidden="1">
      <c r="B910" s="1" t="s">
        <v>178</v>
      </c>
      <c r="C910" s="1">
        <v>6</v>
      </c>
    </row>
    <row r="911" spans="2:3" hidden="1">
      <c r="B911" s="1" t="s">
        <v>179</v>
      </c>
      <c r="C911" s="1">
        <v>0</v>
      </c>
    </row>
    <row r="912" spans="2:3" hidden="1">
      <c r="B912" s="1" t="s">
        <v>180</v>
      </c>
      <c r="C912" s="1">
        <v>0</v>
      </c>
    </row>
    <row r="913" spans="2:3" hidden="1">
      <c r="B913" s="1" t="s">
        <v>181</v>
      </c>
      <c r="C913" s="1">
        <v>0</v>
      </c>
    </row>
    <row r="914" spans="2:3" hidden="1">
      <c r="B914" s="1" t="s">
        <v>182</v>
      </c>
      <c r="C914" s="1">
        <v>0</v>
      </c>
    </row>
    <row r="915" spans="2:3" hidden="1">
      <c r="B915" s="1" t="s">
        <v>183</v>
      </c>
      <c r="C915" s="1">
        <v>0</v>
      </c>
    </row>
    <row r="916" spans="2:3" hidden="1">
      <c r="B916" s="1" t="s">
        <v>184</v>
      </c>
      <c r="C916" s="1">
        <v>0</v>
      </c>
    </row>
    <row r="917" spans="2:3" hidden="1">
      <c r="B917" s="1" t="s">
        <v>185</v>
      </c>
      <c r="C917" s="1">
        <v>0</v>
      </c>
    </row>
    <row r="918" spans="2:3" hidden="1">
      <c r="B918" s="1" t="s">
        <v>186</v>
      </c>
      <c r="C918" s="1">
        <v>0</v>
      </c>
    </row>
    <row r="919" spans="2:3" hidden="1">
      <c r="B919" s="1" t="s">
        <v>187</v>
      </c>
      <c r="C919" s="1">
        <v>0</v>
      </c>
    </row>
    <row r="920" spans="2:3" hidden="1">
      <c r="B920" s="1" t="s">
        <v>188</v>
      </c>
      <c r="C920" s="1">
        <v>0</v>
      </c>
    </row>
    <row r="921" spans="2:3" hidden="1">
      <c r="B921" s="1" t="s">
        <v>189</v>
      </c>
      <c r="C921" s="1">
        <v>0</v>
      </c>
    </row>
    <row r="922" spans="2:3" hidden="1">
      <c r="B922" s="1" t="s">
        <v>190</v>
      </c>
      <c r="C922" s="1">
        <v>0</v>
      </c>
    </row>
    <row r="923" spans="2:3" hidden="1">
      <c r="B923" s="1" t="s">
        <v>191</v>
      </c>
      <c r="C923" s="1">
        <v>2</v>
      </c>
    </row>
    <row r="924" spans="2:3" hidden="1">
      <c r="B924" s="1" t="s">
        <v>192</v>
      </c>
      <c r="C924" s="1">
        <v>0</v>
      </c>
    </row>
    <row r="925" spans="2:3" hidden="1">
      <c r="B925" s="1" t="s">
        <v>193</v>
      </c>
      <c r="C925" s="1">
        <v>0</v>
      </c>
    </row>
    <row r="926" spans="2:3" hidden="1">
      <c r="B926" s="1" t="s">
        <v>194</v>
      </c>
      <c r="C926" s="1">
        <v>0</v>
      </c>
    </row>
    <row r="927" spans="2:3" hidden="1">
      <c r="B927" s="1" t="s">
        <v>195</v>
      </c>
      <c r="C927" s="1">
        <v>0</v>
      </c>
    </row>
    <row r="928" spans="2:3" hidden="1">
      <c r="B928" s="1" t="s">
        <v>196</v>
      </c>
      <c r="C928" s="1">
        <v>0</v>
      </c>
    </row>
    <row r="929" spans="2:3" hidden="1">
      <c r="B929" s="1" t="s">
        <v>197</v>
      </c>
      <c r="C929" s="1">
        <v>0</v>
      </c>
    </row>
    <row r="930" spans="2:3" hidden="1">
      <c r="B930" s="1" t="s">
        <v>198</v>
      </c>
      <c r="C930" s="1">
        <v>0</v>
      </c>
    </row>
    <row r="931" spans="2:3" hidden="1">
      <c r="B931" s="1" t="s">
        <v>199</v>
      </c>
      <c r="C931" s="1" t="s">
        <v>200</v>
      </c>
    </row>
    <row r="932" spans="2:3" hidden="1">
      <c r="B932" s="1" t="s">
        <v>201</v>
      </c>
      <c r="C932" s="1" t="s">
        <v>202</v>
      </c>
    </row>
    <row r="933" spans="2:3" hidden="1">
      <c r="B933" s="1" t="s">
        <v>203</v>
      </c>
      <c r="C933" s="1" t="s">
        <v>204</v>
      </c>
    </row>
    <row r="934" spans="2:3" hidden="1">
      <c r="B934" s="1" t="s">
        <v>205</v>
      </c>
      <c r="C934" s="1" t="s">
        <v>206</v>
      </c>
    </row>
    <row r="935" spans="2:3" hidden="1">
      <c r="B935" s="1" t="s">
        <v>207</v>
      </c>
      <c r="C935" s="1" t="s">
        <v>208</v>
      </c>
    </row>
    <row r="936" spans="2:3" hidden="1">
      <c r="B936" s="1" t="s">
        <v>209</v>
      </c>
      <c r="C936" s="1" t="s">
        <v>210</v>
      </c>
    </row>
    <row r="937" spans="2:3" hidden="1">
      <c r="B937" s="1" t="s">
        <v>211</v>
      </c>
      <c r="C937" s="1" t="s">
        <v>212</v>
      </c>
    </row>
    <row r="938" spans="2:3" hidden="1">
      <c r="B938" s="1" t="s">
        <v>213</v>
      </c>
      <c r="C938" s="1" t="s">
        <v>214</v>
      </c>
    </row>
    <row r="939" spans="2:3" hidden="1">
      <c r="B939" s="1" t="s">
        <v>215</v>
      </c>
      <c r="C939" s="1" t="s">
        <v>216</v>
      </c>
    </row>
    <row r="940" spans="2:3" hidden="1">
      <c r="B940" s="1" t="s">
        <v>217</v>
      </c>
      <c r="C940" s="1" t="s">
        <v>218</v>
      </c>
    </row>
    <row r="941" spans="2:3" hidden="1">
      <c r="B941" s="1" t="s">
        <v>219</v>
      </c>
      <c r="C941" s="1" t="s">
        <v>220</v>
      </c>
    </row>
    <row r="942" spans="2:3" hidden="1">
      <c r="B942" s="1" t="s">
        <v>221</v>
      </c>
      <c r="C942" s="1" t="s">
        <v>222</v>
      </c>
    </row>
    <row r="943" spans="2:3" hidden="1">
      <c r="B943" s="1" t="s">
        <v>223</v>
      </c>
      <c r="C943" s="1" t="s">
        <v>220</v>
      </c>
    </row>
    <row r="944" spans="2:3" hidden="1">
      <c r="B944" s="1" t="s">
        <v>224</v>
      </c>
      <c r="C944" s="1" t="s">
        <v>212</v>
      </c>
    </row>
    <row r="945" spans="2:3" hidden="1">
      <c r="B945" s="1" t="s">
        <v>225</v>
      </c>
      <c r="C945" s="1" t="s">
        <v>226</v>
      </c>
    </row>
    <row r="946" spans="2:3" hidden="1">
      <c r="B946" s="1" t="s">
        <v>227</v>
      </c>
      <c r="C946" s="1" t="s">
        <v>220</v>
      </c>
    </row>
    <row r="947" spans="2:3" hidden="1">
      <c r="B947" s="1" t="s">
        <v>228</v>
      </c>
      <c r="C947" s="1" t="s">
        <v>220</v>
      </c>
    </row>
    <row r="948" spans="2:3" hidden="1">
      <c r="B948" s="1" t="s">
        <v>229</v>
      </c>
      <c r="C948" s="1" t="s">
        <v>208</v>
      </c>
    </row>
    <row r="949" spans="2:3" hidden="1">
      <c r="B949" s="1" t="s">
        <v>230</v>
      </c>
      <c r="C949" s="1" t="s">
        <v>231</v>
      </c>
    </row>
    <row r="950" spans="2:3" hidden="1">
      <c r="B950" s="1" t="s">
        <v>232</v>
      </c>
      <c r="C950" s="1" t="s">
        <v>204</v>
      </c>
    </row>
    <row r="951" spans="2:3" hidden="1">
      <c r="B951" s="1" t="s">
        <v>233</v>
      </c>
      <c r="C951" s="1" t="s">
        <v>231</v>
      </c>
    </row>
    <row r="952" spans="2:3" hidden="1">
      <c r="B952" s="1" t="s">
        <v>234</v>
      </c>
      <c r="C952" s="1" t="s">
        <v>235</v>
      </c>
    </row>
    <row r="953" spans="2:3" hidden="1">
      <c r="B953" s="1" t="s">
        <v>236</v>
      </c>
      <c r="C953" s="1" t="s">
        <v>237</v>
      </c>
    </row>
    <row r="954" spans="2:3" hidden="1">
      <c r="B954" s="1" t="s">
        <v>238</v>
      </c>
      <c r="C954" s="1" t="s">
        <v>239</v>
      </c>
    </row>
    <row r="955" spans="2:3" hidden="1">
      <c r="B955" s="1" t="s">
        <v>240</v>
      </c>
      <c r="C955" s="1" t="s">
        <v>208</v>
      </c>
    </row>
    <row r="956" spans="2:3" hidden="1">
      <c r="B956" s="1" t="s">
        <v>241</v>
      </c>
      <c r="C956" s="1" t="s">
        <v>208</v>
      </c>
    </row>
    <row r="957" spans="2:3" hidden="1">
      <c r="B957" s="1" t="s">
        <v>242</v>
      </c>
      <c r="C957" s="1" t="s">
        <v>243</v>
      </c>
    </row>
    <row r="958" spans="2:3" hidden="1">
      <c r="B958" s="1" t="s">
        <v>244</v>
      </c>
      <c r="C958" s="1" t="s">
        <v>245</v>
      </c>
    </row>
    <row r="959" spans="2:3" hidden="1">
      <c r="B959" s="1" t="s">
        <v>246</v>
      </c>
      <c r="C959" s="1">
        <v>0</v>
      </c>
    </row>
    <row r="960" spans="2:3" hidden="1">
      <c r="B960" s="1" t="s">
        <v>247</v>
      </c>
      <c r="C960" s="1">
        <v>0</v>
      </c>
    </row>
    <row r="961" spans="2:3" hidden="1">
      <c r="B961" s="1" t="s">
        <v>248</v>
      </c>
      <c r="C961" s="1">
        <v>0</v>
      </c>
    </row>
    <row r="962" spans="2:3" hidden="1">
      <c r="B962" s="1" t="s">
        <v>249</v>
      </c>
      <c r="C962" s="1">
        <v>0</v>
      </c>
    </row>
    <row r="963" spans="2:3" hidden="1">
      <c r="B963" s="1" t="s">
        <v>250</v>
      </c>
      <c r="C963" s="1">
        <v>0</v>
      </c>
    </row>
    <row r="964" spans="2:3" hidden="1">
      <c r="B964" s="1" t="s">
        <v>251</v>
      </c>
      <c r="C964" s="1">
        <v>0</v>
      </c>
    </row>
    <row r="965" spans="2:3" hidden="1">
      <c r="B965" s="1" t="s">
        <v>252</v>
      </c>
      <c r="C965" s="1">
        <v>0</v>
      </c>
    </row>
    <row r="966" spans="2:3" hidden="1">
      <c r="B966" s="1" t="s">
        <v>253</v>
      </c>
      <c r="C966" s="1">
        <v>0</v>
      </c>
    </row>
    <row r="967" spans="2:3" hidden="1">
      <c r="B967" s="1" t="s">
        <v>254</v>
      </c>
      <c r="C967" s="1">
        <v>0</v>
      </c>
    </row>
    <row r="968" spans="2:3" hidden="1">
      <c r="B968" s="1" t="s">
        <v>255</v>
      </c>
      <c r="C968" s="1">
        <v>0</v>
      </c>
    </row>
    <row r="969" spans="2:3" hidden="1">
      <c r="B969" s="1" t="s">
        <v>256</v>
      </c>
      <c r="C969" s="1">
        <v>0</v>
      </c>
    </row>
    <row r="970" spans="2:3" hidden="1">
      <c r="B970" s="1" t="s">
        <v>257</v>
      </c>
      <c r="C970" s="1">
        <v>0</v>
      </c>
    </row>
    <row r="971" spans="2:3" hidden="1">
      <c r="B971" s="1" t="s">
        <v>258</v>
      </c>
      <c r="C971" s="1">
        <v>0</v>
      </c>
    </row>
    <row r="972" spans="2:3" hidden="1">
      <c r="B972" s="1" t="s">
        <v>259</v>
      </c>
      <c r="C972" s="1">
        <v>0</v>
      </c>
    </row>
    <row r="973" spans="2:3" hidden="1">
      <c r="B973" s="1" t="s">
        <v>260</v>
      </c>
      <c r="C973" s="1" t="s">
        <v>261</v>
      </c>
    </row>
    <row r="974" spans="2:3" hidden="1">
      <c r="B974" s="1" t="s">
        <v>262</v>
      </c>
      <c r="C974" s="1">
        <v>0</v>
      </c>
    </row>
    <row r="975" spans="2:3" hidden="1">
      <c r="B975" s="1" t="s">
        <v>263</v>
      </c>
      <c r="C975" s="1">
        <v>0</v>
      </c>
    </row>
    <row r="976" spans="2:3" hidden="1">
      <c r="B976" s="1" t="s">
        <v>264</v>
      </c>
      <c r="C976" s="1">
        <v>0</v>
      </c>
    </row>
    <row r="977" spans="2:3" hidden="1">
      <c r="B977" s="1" t="s">
        <v>265</v>
      </c>
      <c r="C977" s="1">
        <v>0</v>
      </c>
    </row>
    <row r="978" spans="2:3" hidden="1">
      <c r="B978" s="1" t="s">
        <v>266</v>
      </c>
      <c r="C978" s="1" t="s">
        <v>267</v>
      </c>
    </row>
    <row r="979" spans="2:3" hidden="1">
      <c r="B979" s="1" t="s">
        <v>268</v>
      </c>
      <c r="C979" s="1">
        <v>0</v>
      </c>
    </row>
    <row r="980" spans="2:3" hidden="1">
      <c r="B980" s="1" t="s">
        <v>269</v>
      </c>
      <c r="C980" s="1">
        <v>0</v>
      </c>
    </row>
    <row r="981" spans="2:3" hidden="1">
      <c r="B981" s="1" t="s">
        <v>270</v>
      </c>
      <c r="C981" s="1">
        <v>0</v>
      </c>
    </row>
    <row r="982" spans="2:3" hidden="1">
      <c r="B982" s="1" t="s">
        <v>271</v>
      </c>
      <c r="C982" s="1">
        <v>0</v>
      </c>
    </row>
    <row r="983" spans="2:3" hidden="1">
      <c r="B983" s="1" t="s">
        <v>272</v>
      </c>
      <c r="C983" s="1">
        <v>0</v>
      </c>
    </row>
    <row r="984" spans="2:3" hidden="1">
      <c r="B984" s="1" t="s">
        <v>273</v>
      </c>
      <c r="C984" s="1">
        <v>0</v>
      </c>
    </row>
    <row r="985" spans="2:3" hidden="1">
      <c r="B985" s="1" t="s">
        <v>274</v>
      </c>
      <c r="C985" s="1">
        <v>0</v>
      </c>
    </row>
    <row r="986" spans="2:3" hidden="1">
      <c r="B986" s="1" t="s">
        <v>275</v>
      </c>
      <c r="C986" s="1">
        <v>0</v>
      </c>
    </row>
    <row r="987" spans="2:3" hidden="1">
      <c r="B987" s="1" t="s">
        <v>276</v>
      </c>
      <c r="C987" s="1">
        <v>0</v>
      </c>
    </row>
    <row r="988" spans="2:3" hidden="1">
      <c r="B988" s="1" t="s">
        <v>277</v>
      </c>
      <c r="C988" s="1">
        <v>0</v>
      </c>
    </row>
    <row r="989" spans="2:3" hidden="1">
      <c r="B989" s="1" t="s">
        <v>278</v>
      </c>
      <c r="C989" s="1">
        <v>0</v>
      </c>
    </row>
    <row r="990" spans="2:3" hidden="1">
      <c r="B990" s="1" t="s">
        <v>279</v>
      </c>
      <c r="C990" s="1">
        <v>0</v>
      </c>
    </row>
    <row r="991" spans="2:3" hidden="1">
      <c r="B991" s="1" t="s">
        <v>280</v>
      </c>
      <c r="C991" s="1">
        <v>0</v>
      </c>
    </row>
    <row r="992" spans="2:3" hidden="1">
      <c r="B992" s="1" t="s">
        <v>281</v>
      </c>
      <c r="C992" s="1">
        <v>0</v>
      </c>
    </row>
    <row r="993" spans="2:3" hidden="1">
      <c r="B993" s="1" t="s">
        <v>282</v>
      </c>
      <c r="C993" s="1">
        <v>0</v>
      </c>
    </row>
    <row r="994" spans="2:3" hidden="1">
      <c r="B994" s="1" t="s">
        <v>283</v>
      </c>
      <c r="C994" s="1">
        <v>0</v>
      </c>
    </row>
    <row r="995" spans="2:3" hidden="1">
      <c r="B995" s="1" t="s">
        <v>284</v>
      </c>
      <c r="C995" s="1" t="s">
        <v>261</v>
      </c>
    </row>
    <row r="996" spans="2:3" hidden="1">
      <c r="B996" s="1" t="s">
        <v>285</v>
      </c>
      <c r="C996" s="1" t="s">
        <v>267</v>
      </c>
    </row>
    <row r="997" spans="2:3" hidden="1">
      <c r="B997" s="1" t="s">
        <v>286</v>
      </c>
      <c r="C997" s="1">
        <v>0</v>
      </c>
    </row>
    <row r="998" spans="2:3" hidden="1">
      <c r="B998" s="1" t="s">
        <v>287</v>
      </c>
      <c r="C998" s="1">
        <v>0</v>
      </c>
    </row>
    <row r="999" spans="2:3" hidden="1">
      <c r="B999" s="1" t="s">
        <v>288</v>
      </c>
      <c r="C999" s="1">
        <v>0</v>
      </c>
    </row>
    <row r="1000" spans="2:3" hidden="1">
      <c r="B1000" s="1" t="s">
        <v>289</v>
      </c>
      <c r="C1000" s="1">
        <v>0</v>
      </c>
    </row>
    <row r="1001" spans="2:3" hidden="1">
      <c r="B1001" s="1" t="s">
        <v>290</v>
      </c>
      <c r="C1001" s="1">
        <v>0</v>
      </c>
    </row>
    <row r="1002" spans="2:3" hidden="1">
      <c r="B1002" s="1" t="s">
        <v>291</v>
      </c>
      <c r="C1002" s="1">
        <v>0</v>
      </c>
    </row>
    <row r="1003" spans="2:3" hidden="1">
      <c r="B1003" s="1" t="s">
        <v>292</v>
      </c>
      <c r="C1003" s="1">
        <v>0</v>
      </c>
    </row>
    <row r="1004" spans="2:3" hidden="1">
      <c r="B1004" s="1" t="s">
        <v>293</v>
      </c>
      <c r="C1004" s="1">
        <v>0</v>
      </c>
    </row>
    <row r="1005" spans="2:3" hidden="1">
      <c r="B1005" s="1" t="s">
        <v>294</v>
      </c>
      <c r="C1005" s="1">
        <v>0</v>
      </c>
    </row>
    <row r="1006" spans="2:3" hidden="1">
      <c r="B1006" s="1" t="s">
        <v>295</v>
      </c>
      <c r="C1006" s="1">
        <v>0</v>
      </c>
    </row>
    <row r="1007" spans="2:3" hidden="1">
      <c r="B1007" s="1" t="s">
        <v>296</v>
      </c>
      <c r="C1007" s="1">
        <v>0</v>
      </c>
    </row>
    <row r="1008" spans="2:3" hidden="1">
      <c r="B1008" s="1" t="s">
        <v>297</v>
      </c>
      <c r="C1008" s="1">
        <v>0</v>
      </c>
    </row>
    <row r="1009" spans="2:3" hidden="1">
      <c r="B1009" s="1" t="s">
        <v>298</v>
      </c>
      <c r="C1009" s="1">
        <v>0</v>
      </c>
    </row>
    <row r="1010" spans="2:3" hidden="1">
      <c r="B1010" s="1" t="s">
        <v>299</v>
      </c>
      <c r="C1010" s="1">
        <v>0</v>
      </c>
    </row>
    <row r="1011" spans="2:3" hidden="1">
      <c r="B1011" s="1" t="s">
        <v>300</v>
      </c>
      <c r="C1011" s="1">
        <v>1</v>
      </c>
    </row>
    <row r="1012" spans="2:3" hidden="1">
      <c r="B1012" s="1" t="s">
        <v>301</v>
      </c>
      <c r="C1012" s="1">
        <v>0</v>
      </c>
    </row>
    <row r="1013" spans="2:3" hidden="1">
      <c r="B1013" s="1" t="s">
        <v>302</v>
      </c>
      <c r="C1013" s="1">
        <v>0</v>
      </c>
    </row>
    <row r="1014" spans="2:3" hidden="1">
      <c r="B1014" s="1" t="s">
        <v>303</v>
      </c>
      <c r="C1014" s="1">
        <v>0</v>
      </c>
    </row>
    <row r="1015" spans="2:3" hidden="1">
      <c r="B1015" s="1" t="s">
        <v>304</v>
      </c>
      <c r="C1015" s="1">
        <v>0</v>
      </c>
    </row>
    <row r="1016" spans="2:3" hidden="1">
      <c r="B1016" s="1" t="s">
        <v>305</v>
      </c>
      <c r="C1016" s="1">
        <v>1</v>
      </c>
    </row>
    <row r="1017" spans="2:3" hidden="1">
      <c r="B1017" s="1" t="s">
        <v>306</v>
      </c>
      <c r="C1017" s="1">
        <v>0</v>
      </c>
    </row>
    <row r="1018" spans="2:3" hidden="1">
      <c r="B1018" s="1" t="s">
        <v>307</v>
      </c>
      <c r="C1018" s="1">
        <v>0</v>
      </c>
    </row>
    <row r="1019" spans="2:3" hidden="1">
      <c r="B1019" s="1" t="s">
        <v>308</v>
      </c>
      <c r="C1019" s="1">
        <v>0</v>
      </c>
    </row>
    <row r="1020" spans="2:3" hidden="1">
      <c r="B1020" s="1" t="s">
        <v>309</v>
      </c>
      <c r="C1020" s="1">
        <v>0</v>
      </c>
    </row>
    <row r="1021" spans="2:3" hidden="1">
      <c r="B1021" s="1" t="s">
        <v>310</v>
      </c>
      <c r="C1021" s="1">
        <v>0</v>
      </c>
    </row>
    <row r="1022" spans="2:3" hidden="1">
      <c r="B1022" s="1" t="s">
        <v>311</v>
      </c>
      <c r="C1022" s="1">
        <v>0</v>
      </c>
    </row>
    <row r="1023" spans="2:3" hidden="1">
      <c r="B1023" s="1" t="s">
        <v>312</v>
      </c>
      <c r="C1023" s="1">
        <v>0</v>
      </c>
    </row>
    <row r="1024" spans="2:3" hidden="1">
      <c r="B1024" s="1" t="s">
        <v>313</v>
      </c>
      <c r="C1024" s="1">
        <v>0</v>
      </c>
    </row>
    <row r="1025" spans="2:3" hidden="1">
      <c r="B1025" s="1" t="s">
        <v>314</v>
      </c>
      <c r="C1025" s="1">
        <v>0</v>
      </c>
    </row>
    <row r="1026" spans="2:3" hidden="1">
      <c r="B1026" s="1" t="s">
        <v>315</v>
      </c>
      <c r="C1026" s="1">
        <v>0</v>
      </c>
    </row>
    <row r="1027" spans="2:3" hidden="1">
      <c r="B1027" s="1" t="s">
        <v>316</v>
      </c>
      <c r="C1027" s="1">
        <v>0</v>
      </c>
    </row>
    <row r="1028" spans="2:3" hidden="1">
      <c r="B1028" s="1" t="s">
        <v>317</v>
      </c>
      <c r="C1028" s="1">
        <v>0</v>
      </c>
    </row>
    <row r="1029" spans="2:3" hidden="1">
      <c r="B1029" s="1" t="s">
        <v>318</v>
      </c>
      <c r="C1029" s="1">
        <v>0</v>
      </c>
    </row>
    <row r="1030" spans="2:3" hidden="1">
      <c r="B1030" s="1" t="s">
        <v>319</v>
      </c>
      <c r="C1030" s="1">
        <v>0</v>
      </c>
    </row>
    <row r="1031" spans="2:3" hidden="1">
      <c r="B1031" s="1" t="s">
        <v>320</v>
      </c>
      <c r="C1031" s="1">
        <v>0</v>
      </c>
    </row>
    <row r="1032" spans="2:3" hidden="1">
      <c r="B1032" s="1" t="s">
        <v>321</v>
      </c>
      <c r="C1032" s="1">
        <v>0</v>
      </c>
    </row>
    <row r="1033" spans="2:3" hidden="1">
      <c r="B1033" s="1" t="s">
        <v>322</v>
      </c>
      <c r="C1033" s="1">
        <v>0</v>
      </c>
    </row>
    <row r="1034" spans="2:3" hidden="1">
      <c r="B1034" s="1" t="s">
        <v>323</v>
      </c>
      <c r="C1034" s="1">
        <v>1</v>
      </c>
    </row>
    <row r="1035" spans="2:3" hidden="1">
      <c r="B1035" s="1" t="s">
        <v>324</v>
      </c>
      <c r="C1035" s="1">
        <v>0</v>
      </c>
    </row>
    <row r="1036" spans="2:3" hidden="1">
      <c r="B1036" s="1" t="s">
        <v>325</v>
      </c>
      <c r="C1036" s="1">
        <v>0</v>
      </c>
    </row>
    <row r="1037" spans="2:3" hidden="1">
      <c r="B1037" s="1" t="s">
        <v>326</v>
      </c>
      <c r="C1037" s="1">
        <v>0</v>
      </c>
    </row>
    <row r="1038" spans="2:3" hidden="1">
      <c r="B1038" s="1" t="s">
        <v>327</v>
      </c>
      <c r="C1038" s="1">
        <v>0</v>
      </c>
    </row>
    <row r="1039" spans="2:3" hidden="1">
      <c r="B1039" s="1" t="s">
        <v>328</v>
      </c>
      <c r="C1039" s="1">
        <v>0</v>
      </c>
    </row>
    <row r="1040" spans="2:3" hidden="1">
      <c r="B1040" s="1" t="s">
        <v>329</v>
      </c>
      <c r="C1040" s="1">
        <v>0</v>
      </c>
    </row>
    <row r="1041" spans="2:3" hidden="1">
      <c r="B1041" s="1" t="s">
        <v>330</v>
      </c>
      <c r="C1041" s="1">
        <v>0</v>
      </c>
    </row>
    <row r="1042" spans="2:3" hidden="1">
      <c r="B1042" s="1" t="s">
        <v>331</v>
      </c>
      <c r="C1042" s="1">
        <v>0</v>
      </c>
    </row>
    <row r="1043" spans="2:3" hidden="1">
      <c r="B1043" s="1" t="s">
        <v>332</v>
      </c>
      <c r="C1043" s="1">
        <v>0</v>
      </c>
    </row>
    <row r="1044" spans="2:3" hidden="1">
      <c r="B1044" s="1" t="s">
        <v>333</v>
      </c>
      <c r="C1044" s="1">
        <v>0</v>
      </c>
    </row>
    <row r="1045" spans="2:3" hidden="1">
      <c r="B1045" s="1" t="s">
        <v>334</v>
      </c>
      <c r="C1045" s="1">
        <v>0</v>
      </c>
    </row>
    <row r="1046" spans="2:3" hidden="1">
      <c r="B1046" s="1" t="s">
        <v>335</v>
      </c>
      <c r="C1046" s="1">
        <v>0</v>
      </c>
    </row>
    <row r="1047" spans="2:3" hidden="1">
      <c r="B1047" s="1" t="s">
        <v>336</v>
      </c>
      <c r="C1047" s="1">
        <v>0</v>
      </c>
    </row>
    <row r="1048" spans="2:3" hidden="1">
      <c r="B1048" s="1" t="s">
        <v>337</v>
      </c>
      <c r="C1048" s="1">
        <v>0</v>
      </c>
    </row>
    <row r="1049" spans="2:3" hidden="1">
      <c r="B1049" s="1" t="s">
        <v>338</v>
      </c>
      <c r="C1049" s="1">
        <v>0</v>
      </c>
    </row>
    <row r="1050" spans="2:3" hidden="1">
      <c r="B1050" s="1" t="s">
        <v>339</v>
      </c>
      <c r="C1050" s="1">
        <v>0</v>
      </c>
    </row>
    <row r="1051" spans="2:3" hidden="1">
      <c r="B1051" s="1" t="s">
        <v>340</v>
      </c>
      <c r="C1051" s="1">
        <v>0</v>
      </c>
    </row>
    <row r="1052" spans="2:3" hidden="1">
      <c r="B1052" s="1" t="s">
        <v>341</v>
      </c>
      <c r="C1052" s="1">
        <v>0</v>
      </c>
    </row>
    <row r="1053" spans="2:3" hidden="1">
      <c r="B1053" s="1" t="s">
        <v>342</v>
      </c>
      <c r="C1053" s="1">
        <v>0</v>
      </c>
    </row>
    <row r="1054" spans="2:3" hidden="1">
      <c r="B1054" s="1" t="s">
        <v>343</v>
      </c>
      <c r="C1054" s="1">
        <v>0</v>
      </c>
    </row>
    <row r="1055" spans="2:3" hidden="1">
      <c r="B1055" s="1" t="s">
        <v>344</v>
      </c>
      <c r="C1055" s="1">
        <v>0</v>
      </c>
    </row>
    <row r="1056" spans="2:3" hidden="1">
      <c r="B1056" s="1" t="s">
        <v>345</v>
      </c>
      <c r="C1056" s="1">
        <v>0</v>
      </c>
    </row>
    <row r="1057" spans="2:3" hidden="1">
      <c r="B1057" s="1" t="s">
        <v>346</v>
      </c>
      <c r="C1057" s="1">
        <v>0</v>
      </c>
    </row>
    <row r="1058" spans="2:3" hidden="1">
      <c r="B1058" s="1" t="s">
        <v>347</v>
      </c>
      <c r="C1058" s="1">
        <v>0</v>
      </c>
    </row>
    <row r="1059" spans="2:3" hidden="1">
      <c r="B1059" s="1" t="s">
        <v>348</v>
      </c>
      <c r="C1059" s="1">
        <v>0</v>
      </c>
    </row>
    <row r="1060" spans="2:3" hidden="1">
      <c r="B1060" s="1" t="s">
        <v>349</v>
      </c>
      <c r="C1060" s="1">
        <v>0</v>
      </c>
    </row>
    <row r="1061" spans="2:3" hidden="1">
      <c r="B1061" s="1" t="s">
        <v>350</v>
      </c>
      <c r="C1061" s="1">
        <v>0</v>
      </c>
    </row>
    <row r="1062" spans="2:3" hidden="1">
      <c r="B1062" s="1" t="s">
        <v>351</v>
      </c>
      <c r="C1062" s="1">
        <v>0</v>
      </c>
    </row>
    <row r="1063" spans="2:3" hidden="1">
      <c r="B1063" s="1" t="s">
        <v>352</v>
      </c>
      <c r="C1063" s="1">
        <v>0</v>
      </c>
    </row>
    <row r="1064" spans="2:3" hidden="1">
      <c r="B1064" s="1" t="s">
        <v>353</v>
      </c>
      <c r="C1064" s="1">
        <v>0</v>
      </c>
    </row>
    <row r="1065" spans="2:3" hidden="1">
      <c r="B1065" s="1" t="s">
        <v>354</v>
      </c>
      <c r="C1065" s="1">
        <v>0</v>
      </c>
    </row>
    <row r="1066" spans="2:3" hidden="1">
      <c r="B1066" s="1" t="s">
        <v>355</v>
      </c>
      <c r="C1066" s="1">
        <v>0</v>
      </c>
    </row>
    <row r="1067" spans="2:3" hidden="1">
      <c r="B1067" s="1" t="s">
        <v>356</v>
      </c>
      <c r="C1067" s="1">
        <v>0</v>
      </c>
    </row>
    <row r="1068" spans="2:3" hidden="1">
      <c r="B1068" s="1" t="s">
        <v>357</v>
      </c>
      <c r="C1068" s="1">
        <v>0</v>
      </c>
    </row>
    <row r="1069" spans="2:3" hidden="1">
      <c r="B1069" s="1" t="s">
        <v>358</v>
      </c>
      <c r="C1069" s="1">
        <v>0</v>
      </c>
    </row>
    <row r="1070" spans="2:3" hidden="1">
      <c r="B1070" s="1" t="s">
        <v>359</v>
      </c>
      <c r="C1070" s="1">
        <v>0</v>
      </c>
    </row>
    <row r="1071" spans="2:3" hidden="1">
      <c r="B1071" s="1" t="s">
        <v>360</v>
      </c>
      <c r="C1071" s="1">
        <v>0</v>
      </c>
    </row>
    <row r="1072" spans="2:3" hidden="1">
      <c r="B1072" s="1" t="s">
        <v>361</v>
      </c>
      <c r="C1072" s="1">
        <v>0</v>
      </c>
    </row>
    <row r="1073" spans="2:3" hidden="1">
      <c r="B1073" s="1" t="s">
        <v>362</v>
      </c>
      <c r="C1073" s="1">
        <v>0</v>
      </c>
    </row>
    <row r="1074" spans="2:3" hidden="1">
      <c r="B1074" s="1" t="s">
        <v>363</v>
      </c>
      <c r="C1074" s="1">
        <v>0</v>
      </c>
    </row>
    <row r="1075" spans="2:3" hidden="1">
      <c r="B1075" s="1" t="s">
        <v>364</v>
      </c>
      <c r="C1075" s="1">
        <v>0</v>
      </c>
    </row>
    <row r="1076" spans="2:3" hidden="1">
      <c r="B1076" s="1" t="s">
        <v>365</v>
      </c>
      <c r="C1076" s="1">
        <v>0</v>
      </c>
    </row>
  </sheetData>
  <sheetProtection sheet="1" objects="1" scenarios="1" selectLockedCells="1"/>
  <protectedRanges>
    <protectedRange sqref="D8:E8 F1 F19:F20 F25" name="Grey edit cells"/>
  </protectedRanges>
  <mergeCells count="12">
    <mergeCell ref="B58:C58"/>
    <mergeCell ref="B59:C59"/>
    <mergeCell ref="B60:C60"/>
    <mergeCell ref="G50:H50"/>
    <mergeCell ref="G51:H51"/>
    <mergeCell ref="G52:H52"/>
    <mergeCell ref="G53:H53"/>
    <mergeCell ref="B3:F3"/>
    <mergeCell ref="G47:H47"/>
    <mergeCell ref="G48:H48"/>
    <mergeCell ref="G49:H49"/>
    <mergeCell ref="B57:C57"/>
  </mergeCells>
  <conditionalFormatting sqref="B67:B76">
    <cfRule type="expression" dxfId="38" priority="2" stopIfTrue="1">
      <formula>MID($A67,1,4)="Rent"</formula>
    </cfRule>
  </conditionalFormatting>
  <conditionalFormatting sqref="C11:D11">
    <cfRule type="expression" dxfId="37" priority="1">
      <formula>$F$2="no"</formula>
    </cfRule>
  </conditionalFormatting>
  <conditionalFormatting sqref="C12:D22 D23 C24:D26">
    <cfRule type="expression" dxfId="36" priority="22">
      <formula>$F$1="No"</formula>
    </cfRule>
  </conditionalFormatting>
  <dataValidations count="1">
    <dataValidation type="list" allowBlank="1" showInputMessage="1" showErrorMessage="1" sqref="F1" xr:uid="{590A4260-08F3-441C-BBE8-05D21D6C2A43}">
      <formula1>"Yes,No"</formula1>
    </dataValidation>
  </dataValidations>
  <pageMargins left="0.7" right="0.7" top="0.75" bottom="0.75" header="0.3" footer="0.3"/>
  <pageSetup scale="85" orientation="portrait" r:id="rId1"/>
  <headerFooter>
    <oddFooter>&amp;C&amp;"Verdana,Regular"&amp;8The Crop Budget Generator is a product of the Food and Agricultural Policy Research Institute at the University of Missouri
www.fapri.missouri.edu</oddFooter>
  </headerFooter>
  <ignoredErrors>
    <ignoredError sqref="F21:F22 C52 F23:F24"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637AC-6E93-4D75-B22A-1FB09D1A259F}">
  <dimension ref="A1:WVP1070"/>
  <sheetViews>
    <sheetView topLeftCell="A47" workbookViewId="0">
      <selection activeCell="F1" sqref="F1"/>
    </sheetView>
  </sheetViews>
  <sheetFormatPr defaultColWidth="0" defaultRowHeight="16.5" zeroHeight="1"/>
  <cols>
    <col min="1" max="1" width="2.625" style="1" customWidth="1"/>
    <col min="2" max="2" width="37.625" style="1" customWidth="1"/>
    <col min="3" max="3" width="17.75" style="1" customWidth="1"/>
    <col min="4" max="4" width="9.625" style="1" customWidth="1"/>
    <col min="5" max="6" width="14.375" style="1" customWidth="1"/>
    <col min="7" max="7" width="11.75" style="1" customWidth="1"/>
    <col min="8" max="8" width="11.875" style="1" customWidth="1"/>
    <col min="9" max="9" width="9" style="1" hidden="1"/>
    <col min="10" max="257" width="8" style="1" hidden="1"/>
    <col min="258" max="258" width="28.125" style="1" hidden="1"/>
    <col min="259" max="259" width="8.125" style="1" hidden="1"/>
    <col min="260" max="260" width="9.125" style="1" hidden="1"/>
    <col min="261" max="261" width="9.75" style="1" hidden="1"/>
    <col min="262" max="262" width="11.125" style="1" hidden="1"/>
    <col min="263" max="263" width="10.375" style="1" hidden="1"/>
    <col min="264" max="264" width="10.5" style="1" hidden="1"/>
    <col min="265" max="513" width="8" style="1" hidden="1"/>
    <col min="514" max="514" width="28.125" style="1" hidden="1"/>
    <col min="515" max="515" width="8.125" style="1" hidden="1"/>
    <col min="516" max="516" width="9.125" style="1" hidden="1"/>
    <col min="517" max="517" width="9.75" style="1" hidden="1"/>
    <col min="518" max="518" width="11.125" style="1" hidden="1"/>
    <col min="519" max="519" width="10.375" style="1" hidden="1"/>
    <col min="520" max="520" width="10.5" style="1" hidden="1"/>
    <col min="521" max="769" width="8" style="1" hidden="1"/>
    <col min="770" max="770" width="28.125" style="1" hidden="1"/>
    <col min="771" max="771" width="8.125" style="1" hidden="1"/>
    <col min="772" max="772" width="9.125" style="1" hidden="1"/>
    <col min="773" max="773" width="9.75" style="1" hidden="1"/>
    <col min="774" max="774" width="11.125" style="1" hidden="1"/>
    <col min="775" max="775" width="10.375" style="1" hidden="1"/>
    <col min="776" max="776" width="10.5" style="1" hidden="1"/>
    <col min="777" max="1025" width="9" style="1" hidden="1"/>
    <col min="1026" max="1026" width="28.125" style="1" hidden="1"/>
    <col min="1027" max="1027" width="8.125" style="1" hidden="1"/>
    <col min="1028" max="1028" width="9.125" style="1" hidden="1"/>
    <col min="1029" max="1029" width="9.75" style="1" hidden="1"/>
    <col min="1030" max="1030" width="11.125" style="1" hidden="1"/>
    <col min="1031" max="1031" width="10.375" style="1" hidden="1"/>
    <col min="1032" max="1032" width="10.5" style="1" hidden="1"/>
    <col min="1033" max="1281" width="8" style="1" hidden="1"/>
    <col min="1282" max="1282" width="28.125" style="1" hidden="1"/>
    <col min="1283" max="1283" width="8.125" style="1" hidden="1"/>
    <col min="1284" max="1284" width="9.125" style="1" hidden="1"/>
    <col min="1285" max="1285" width="9.75" style="1" hidden="1"/>
    <col min="1286" max="1286" width="11.125" style="1" hidden="1"/>
    <col min="1287" max="1287" width="10.375" style="1" hidden="1"/>
    <col min="1288" max="1288" width="10.5" style="1" hidden="1"/>
    <col min="1289" max="1537" width="8" style="1" hidden="1"/>
    <col min="1538" max="1538" width="28.125" style="1" hidden="1"/>
    <col min="1539" max="1539" width="8.125" style="1" hidden="1"/>
    <col min="1540" max="1540" width="9.125" style="1" hidden="1"/>
    <col min="1541" max="1541" width="9.75" style="1" hidden="1"/>
    <col min="1542" max="1542" width="11.125" style="1" hidden="1"/>
    <col min="1543" max="1543" width="10.375" style="1" hidden="1"/>
    <col min="1544" max="1544" width="10.5" style="1" hidden="1"/>
    <col min="1545" max="1793" width="8" style="1" hidden="1"/>
    <col min="1794" max="1794" width="28.125" style="1" hidden="1"/>
    <col min="1795" max="1795" width="8.125" style="1" hidden="1"/>
    <col min="1796" max="1796" width="9.125" style="1" hidden="1"/>
    <col min="1797" max="1797" width="9.75" style="1" hidden="1"/>
    <col min="1798" max="1798" width="11.125" style="1" hidden="1"/>
    <col min="1799" max="1799" width="10.375" style="1" hidden="1"/>
    <col min="1800" max="1800" width="10.5" style="1" hidden="1"/>
    <col min="1801" max="2049" width="9" style="1" hidden="1"/>
    <col min="2050" max="2050" width="28.125" style="1" hidden="1"/>
    <col min="2051" max="2051" width="8.125" style="1" hidden="1"/>
    <col min="2052" max="2052" width="9.125" style="1" hidden="1"/>
    <col min="2053" max="2053" width="9.75" style="1" hidden="1"/>
    <col min="2054" max="2054" width="11.125" style="1" hidden="1"/>
    <col min="2055" max="2055" width="10.375" style="1" hidden="1"/>
    <col min="2056" max="2056" width="10.5" style="1" hidden="1"/>
    <col min="2057" max="2305" width="8" style="1" hidden="1"/>
    <col min="2306" max="2306" width="28.125" style="1" hidden="1"/>
    <col min="2307" max="2307" width="8.125" style="1" hidden="1"/>
    <col min="2308" max="2308" width="9.125" style="1" hidden="1"/>
    <col min="2309" max="2309" width="9.75" style="1" hidden="1"/>
    <col min="2310" max="2310" width="11.125" style="1" hidden="1"/>
    <col min="2311" max="2311" width="10.375" style="1" hidden="1"/>
    <col min="2312" max="2312" width="10.5" style="1" hidden="1"/>
    <col min="2313" max="2561" width="8" style="1" hidden="1"/>
    <col min="2562" max="2562" width="28.125" style="1" hidden="1"/>
    <col min="2563" max="2563" width="8.125" style="1" hidden="1"/>
    <col min="2564" max="2564" width="9.125" style="1" hidden="1"/>
    <col min="2565" max="2565" width="9.75" style="1" hidden="1"/>
    <col min="2566" max="2566" width="11.125" style="1" hidden="1"/>
    <col min="2567" max="2567" width="10.375" style="1" hidden="1"/>
    <col min="2568" max="2568" width="10.5" style="1" hidden="1"/>
    <col min="2569" max="2817" width="8" style="1" hidden="1"/>
    <col min="2818" max="2818" width="28.125" style="1" hidden="1"/>
    <col min="2819" max="2819" width="8.125" style="1" hidden="1"/>
    <col min="2820" max="2820" width="9.125" style="1" hidden="1"/>
    <col min="2821" max="2821" width="9.75" style="1" hidden="1"/>
    <col min="2822" max="2822" width="11.125" style="1" hidden="1"/>
    <col min="2823" max="2823" width="10.375" style="1" hidden="1"/>
    <col min="2824" max="2824" width="10.5" style="1" hidden="1"/>
    <col min="2825" max="3073" width="9" style="1" hidden="1"/>
    <col min="3074" max="3074" width="28.125" style="1" hidden="1"/>
    <col min="3075" max="3075" width="8.125" style="1" hidden="1"/>
    <col min="3076" max="3076" width="9.125" style="1" hidden="1"/>
    <col min="3077" max="3077" width="9.75" style="1" hidden="1"/>
    <col min="3078" max="3078" width="11.125" style="1" hidden="1"/>
    <col min="3079" max="3079" width="10.375" style="1" hidden="1"/>
    <col min="3080" max="3080" width="10.5" style="1" hidden="1"/>
    <col min="3081" max="3329" width="8" style="1" hidden="1"/>
    <col min="3330" max="3330" width="28.125" style="1" hidden="1"/>
    <col min="3331" max="3331" width="8.125" style="1" hidden="1"/>
    <col min="3332" max="3332" width="9.125" style="1" hidden="1"/>
    <col min="3333" max="3333" width="9.75" style="1" hidden="1"/>
    <col min="3334" max="3334" width="11.125" style="1" hidden="1"/>
    <col min="3335" max="3335" width="10.375" style="1" hidden="1"/>
    <col min="3336" max="3336" width="10.5" style="1" hidden="1"/>
    <col min="3337" max="3585" width="8" style="1" hidden="1"/>
    <col min="3586" max="3586" width="28.125" style="1" hidden="1"/>
    <col min="3587" max="3587" width="8.125" style="1" hidden="1"/>
    <col min="3588" max="3588" width="9.125" style="1" hidden="1"/>
    <col min="3589" max="3589" width="9.75" style="1" hidden="1"/>
    <col min="3590" max="3590" width="11.125" style="1" hidden="1"/>
    <col min="3591" max="3591" width="10.375" style="1" hidden="1"/>
    <col min="3592" max="3592" width="10.5" style="1" hidden="1"/>
    <col min="3593" max="3841" width="8" style="1" hidden="1"/>
    <col min="3842" max="3842" width="28.125" style="1" hidden="1"/>
    <col min="3843" max="3843" width="8.125" style="1" hidden="1"/>
    <col min="3844" max="3844" width="9.125" style="1" hidden="1"/>
    <col min="3845" max="3845" width="9.75" style="1" hidden="1"/>
    <col min="3846" max="3846" width="11.125" style="1" hidden="1"/>
    <col min="3847" max="3847" width="10.375" style="1" hidden="1"/>
    <col min="3848" max="3848" width="10.5" style="1" hidden="1"/>
    <col min="3849" max="4097" width="9" style="1" hidden="1"/>
    <col min="4098" max="4098" width="28.125" style="1" hidden="1"/>
    <col min="4099" max="4099" width="8.125" style="1" hidden="1"/>
    <col min="4100" max="4100" width="9.125" style="1" hidden="1"/>
    <col min="4101" max="4101" width="9.75" style="1" hidden="1"/>
    <col min="4102" max="4102" width="11.125" style="1" hidden="1"/>
    <col min="4103" max="4103" width="10.375" style="1" hidden="1"/>
    <col min="4104" max="4104" width="10.5" style="1" hidden="1"/>
    <col min="4105" max="4353" width="8" style="1" hidden="1"/>
    <col min="4354" max="4354" width="28.125" style="1" hidden="1"/>
    <col min="4355" max="4355" width="8.125" style="1" hidden="1"/>
    <col min="4356" max="4356" width="9.125" style="1" hidden="1"/>
    <col min="4357" max="4357" width="9.75" style="1" hidden="1"/>
    <col min="4358" max="4358" width="11.125" style="1" hidden="1"/>
    <col min="4359" max="4359" width="10.375" style="1" hidden="1"/>
    <col min="4360" max="4360" width="10.5" style="1" hidden="1"/>
    <col min="4361" max="4609" width="8" style="1" hidden="1"/>
    <col min="4610" max="4610" width="28.125" style="1" hidden="1"/>
    <col min="4611" max="4611" width="8.125" style="1" hidden="1"/>
    <col min="4612" max="4612" width="9.125" style="1" hidden="1"/>
    <col min="4613" max="4613" width="9.75" style="1" hidden="1"/>
    <col min="4614" max="4614" width="11.125" style="1" hidden="1"/>
    <col min="4615" max="4615" width="10.375" style="1" hidden="1"/>
    <col min="4616" max="4616" width="10.5" style="1" hidden="1"/>
    <col min="4617" max="4865" width="8" style="1" hidden="1"/>
    <col min="4866" max="4866" width="28.125" style="1" hidden="1"/>
    <col min="4867" max="4867" width="8.125" style="1" hidden="1"/>
    <col min="4868" max="4868" width="9.125" style="1" hidden="1"/>
    <col min="4869" max="4869" width="9.75" style="1" hidden="1"/>
    <col min="4870" max="4870" width="11.125" style="1" hidden="1"/>
    <col min="4871" max="4871" width="10.375" style="1" hidden="1"/>
    <col min="4872" max="4872" width="10.5" style="1" hidden="1"/>
    <col min="4873" max="5121" width="9" style="1" hidden="1"/>
    <col min="5122" max="5122" width="28.125" style="1" hidden="1"/>
    <col min="5123" max="5123" width="8.125" style="1" hidden="1"/>
    <col min="5124" max="5124" width="9.125" style="1" hidden="1"/>
    <col min="5125" max="5125" width="9.75" style="1" hidden="1"/>
    <col min="5126" max="5126" width="11.125" style="1" hidden="1"/>
    <col min="5127" max="5127" width="10.375" style="1" hidden="1"/>
    <col min="5128" max="5128" width="10.5" style="1" hidden="1"/>
    <col min="5129" max="5377" width="8" style="1" hidden="1"/>
    <col min="5378" max="5378" width="28.125" style="1" hidden="1"/>
    <col min="5379" max="5379" width="8.125" style="1" hidden="1"/>
    <col min="5380" max="5380" width="9.125" style="1" hidden="1"/>
    <col min="5381" max="5381" width="9.75" style="1" hidden="1"/>
    <col min="5382" max="5382" width="11.125" style="1" hidden="1"/>
    <col min="5383" max="5383" width="10.375" style="1" hidden="1"/>
    <col min="5384" max="5384" width="10.5" style="1" hidden="1"/>
    <col min="5385" max="5633" width="8" style="1" hidden="1"/>
    <col min="5634" max="5634" width="28.125" style="1" hidden="1"/>
    <col min="5635" max="5635" width="8.125" style="1" hidden="1"/>
    <col min="5636" max="5636" width="9.125" style="1" hidden="1"/>
    <col min="5637" max="5637" width="9.75" style="1" hidden="1"/>
    <col min="5638" max="5638" width="11.125" style="1" hidden="1"/>
    <col min="5639" max="5639" width="10.375" style="1" hidden="1"/>
    <col min="5640" max="5640" width="10.5" style="1" hidden="1"/>
    <col min="5641" max="5889" width="8" style="1" hidden="1"/>
    <col min="5890" max="5890" width="28.125" style="1" hidden="1"/>
    <col min="5891" max="5891" width="8.125" style="1" hidden="1"/>
    <col min="5892" max="5892" width="9.125" style="1" hidden="1"/>
    <col min="5893" max="5893" width="9.75" style="1" hidden="1"/>
    <col min="5894" max="5894" width="11.125" style="1" hidden="1"/>
    <col min="5895" max="5895" width="10.375" style="1" hidden="1"/>
    <col min="5896" max="5896" width="10.5" style="1" hidden="1"/>
    <col min="5897" max="6145" width="9" style="1" hidden="1"/>
    <col min="6146" max="6146" width="28.125" style="1" hidden="1"/>
    <col min="6147" max="6147" width="8.125" style="1" hidden="1"/>
    <col min="6148" max="6148" width="9.125" style="1" hidden="1"/>
    <col min="6149" max="6149" width="9.75" style="1" hidden="1"/>
    <col min="6150" max="6150" width="11.125" style="1" hidden="1"/>
    <col min="6151" max="6151" width="10.375" style="1" hidden="1"/>
    <col min="6152" max="6152" width="10.5" style="1" hidden="1"/>
    <col min="6153" max="6401" width="8" style="1" hidden="1"/>
    <col min="6402" max="6402" width="28.125" style="1" hidden="1"/>
    <col min="6403" max="6403" width="8.125" style="1" hidden="1"/>
    <col min="6404" max="6404" width="9.125" style="1" hidden="1"/>
    <col min="6405" max="6405" width="9.75" style="1" hidden="1"/>
    <col min="6406" max="6406" width="11.125" style="1" hidden="1"/>
    <col min="6407" max="6407" width="10.375" style="1" hidden="1"/>
    <col min="6408" max="6408" width="10.5" style="1" hidden="1"/>
    <col min="6409" max="6657" width="8" style="1" hidden="1"/>
    <col min="6658" max="6658" width="28.125" style="1" hidden="1"/>
    <col min="6659" max="6659" width="8.125" style="1" hidden="1"/>
    <col min="6660" max="6660" width="9.125" style="1" hidden="1"/>
    <col min="6661" max="6661" width="9.75" style="1" hidden="1"/>
    <col min="6662" max="6662" width="11.125" style="1" hidden="1"/>
    <col min="6663" max="6663" width="10.375" style="1" hidden="1"/>
    <col min="6664" max="6664" width="10.5" style="1" hidden="1"/>
    <col min="6665" max="6913" width="8" style="1" hidden="1"/>
    <col min="6914" max="6914" width="28.125" style="1" hidden="1"/>
    <col min="6915" max="6915" width="8.125" style="1" hidden="1"/>
    <col min="6916" max="6916" width="9.125" style="1" hidden="1"/>
    <col min="6917" max="6917" width="9.75" style="1" hidden="1"/>
    <col min="6918" max="6918" width="11.125" style="1" hidden="1"/>
    <col min="6919" max="6919" width="10.375" style="1" hidden="1"/>
    <col min="6920" max="6920" width="10.5" style="1" hidden="1"/>
    <col min="6921" max="7169" width="9" style="1" hidden="1"/>
    <col min="7170" max="7170" width="28.125" style="1" hidden="1"/>
    <col min="7171" max="7171" width="8.125" style="1" hidden="1"/>
    <col min="7172" max="7172" width="9.125" style="1" hidden="1"/>
    <col min="7173" max="7173" width="9.75" style="1" hidden="1"/>
    <col min="7174" max="7174" width="11.125" style="1" hidden="1"/>
    <col min="7175" max="7175" width="10.375" style="1" hidden="1"/>
    <col min="7176" max="7176" width="10.5" style="1" hidden="1"/>
    <col min="7177" max="7425" width="8" style="1" hidden="1"/>
    <col min="7426" max="7426" width="28.125" style="1" hidden="1"/>
    <col min="7427" max="7427" width="8.125" style="1" hidden="1"/>
    <col min="7428" max="7428" width="9.125" style="1" hidden="1"/>
    <col min="7429" max="7429" width="9.75" style="1" hidden="1"/>
    <col min="7430" max="7430" width="11.125" style="1" hidden="1"/>
    <col min="7431" max="7431" width="10.375" style="1" hidden="1"/>
    <col min="7432" max="7432" width="10.5" style="1" hidden="1"/>
    <col min="7433" max="7681" width="8" style="1" hidden="1"/>
    <col min="7682" max="7682" width="28.125" style="1" hidden="1"/>
    <col min="7683" max="7683" width="8.125" style="1" hidden="1"/>
    <col min="7684" max="7684" width="9.125" style="1" hidden="1"/>
    <col min="7685" max="7685" width="9.75" style="1" hidden="1"/>
    <col min="7686" max="7686" width="11.125" style="1" hidden="1"/>
    <col min="7687" max="7687" width="10.375" style="1" hidden="1"/>
    <col min="7688" max="7688" width="10.5" style="1" hidden="1"/>
    <col min="7689" max="7937" width="8" style="1" hidden="1"/>
    <col min="7938" max="7938" width="28.125" style="1" hidden="1"/>
    <col min="7939" max="7939" width="8.125" style="1" hidden="1"/>
    <col min="7940" max="7940" width="9.125" style="1" hidden="1"/>
    <col min="7941" max="7941" width="9.75" style="1" hidden="1"/>
    <col min="7942" max="7942" width="11.125" style="1" hidden="1"/>
    <col min="7943" max="7943" width="10.375" style="1" hidden="1"/>
    <col min="7944" max="7944" width="10.5" style="1" hidden="1"/>
    <col min="7945" max="8193" width="9" style="1" hidden="1"/>
    <col min="8194" max="8194" width="28.125" style="1" hidden="1"/>
    <col min="8195" max="8195" width="8.125" style="1" hidden="1"/>
    <col min="8196" max="8196" width="9.125" style="1" hidden="1"/>
    <col min="8197" max="8197" width="9.75" style="1" hidden="1"/>
    <col min="8198" max="8198" width="11.125" style="1" hidden="1"/>
    <col min="8199" max="8199" width="10.375" style="1" hidden="1"/>
    <col min="8200" max="8200" width="10.5" style="1" hidden="1"/>
    <col min="8201" max="8449" width="8" style="1" hidden="1"/>
    <col min="8450" max="8450" width="28.125" style="1" hidden="1"/>
    <col min="8451" max="8451" width="8.125" style="1" hidden="1"/>
    <col min="8452" max="8452" width="9.125" style="1" hidden="1"/>
    <col min="8453" max="8453" width="9.75" style="1" hidden="1"/>
    <col min="8454" max="8454" width="11.125" style="1" hidden="1"/>
    <col min="8455" max="8455" width="10.375" style="1" hidden="1"/>
    <col min="8456" max="8456" width="10.5" style="1" hidden="1"/>
    <col min="8457" max="8705" width="8" style="1" hidden="1"/>
    <col min="8706" max="8706" width="28.125" style="1" hidden="1"/>
    <col min="8707" max="8707" width="8.125" style="1" hidden="1"/>
    <col min="8708" max="8708" width="9.125" style="1" hidden="1"/>
    <col min="8709" max="8709" width="9.75" style="1" hidden="1"/>
    <col min="8710" max="8710" width="11.125" style="1" hidden="1"/>
    <col min="8711" max="8711" width="10.375" style="1" hidden="1"/>
    <col min="8712" max="8712" width="10.5" style="1" hidden="1"/>
    <col min="8713" max="8961" width="8" style="1" hidden="1"/>
    <col min="8962" max="8962" width="28.125" style="1" hidden="1"/>
    <col min="8963" max="8963" width="8.125" style="1" hidden="1"/>
    <col min="8964" max="8964" width="9.125" style="1" hidden="1"/>
    <col min="8965" max="8965" width="9.75" style="1" hidden="1"/>
    <col min="8966" max="8966" width="11.125" style="1" hidden="1"/>
    <col min="8967" max="8967" width="10.375" style="1" hidden="1"/>
    <col min="8968" max="8968" width="10.5" style="1" hidden="1"/>
    <col min="8969" max="9217" width="9" style="1" hidden="1"/>
    <col min="9218" max="9218" width="28.125" style="1" hidden="1"/>
    <col min="9219" max="9219" width="8.125" style="1" hidden="1"/>
    <col min="9220" max="9220" width="9.125" style="1" hidden="1"/>
    <col min="9221" max="9221" width="9.75" style="1" hidden="1"/>
    <col min="9222" max="9222" width="11.125" style="1" hidden="1"/>
    <col min="9223" max="9223" width="10.375" style="1" hidden="1"/>
    <col min="9224" max="9224" width="10.5" style="1" hidden="1"/>
    <col min="9225" max="9473" width="8" style="1" hidden="1"/>
    <col min="9474" max="9474" width="28.125" style="1" hidden="1"/>
    <col min="9475" max="9475" width="8.125" style="1" hidden="1"/>
    <col min="9476" max="9476" width="9.125" style="1" hidden="1"/>
    <col min="9477" max="9477" width="9.75" style="1" hidden="1"/>
    <col min="9478" max="9478" width="11.125" style="1" hidden="1"/>
    <col min="9479" max="9479" width="10.375" style="1" hidden="1"/>
    <col min="9480" max="9480" width="10.5" style="1" hidden="1"/>
    <col min="9481" max="9729" width="8" style="1" hidden="1"/>
    <col min="9730" max="9730" width="28.125" style="1" hidden="1"/>
    <col min="9731" max="9731" width="8.125" style="1" hidden="1"/>
    <col min="9732" max="9732" width="9.125" style="1" hidden="1"/>
    <col min="9733" max="9733" width="9.75" style="1" hidden="1"/>
    <col min="9734" max="9734" width="11.125" style="1" hidden="1"/>
    <col min="9735" max="9735" width="10.375" style="1" hidden="1"/>
    <col min="9736" max="9736" width="10.5" style="1" hidden="1"/>
    <col min="9737" max="9985" width="8" style="1" hidden="1"/>
    <col min="9986" max="9986" width="28.125" style="1" hidden="1"/>
    <col min="9987" max="9987" width="8.125" style="1" hidden="1"/>
    <col min="9988" max="9988" width="9.125" style="1" hidden="1"/>
    <col min="9989" max="9989" width="9.75" style="1" hidden="1"/>
    <col min="9990" max="9990" width="11.125" style="1" hidden="1"/>
    <col min="9991" max="9991" width="10.375" style="1" hidden="1"/>
    <col min="9992" max="9992" width="10.5" style="1" hidden="1"/>
    <col min="9993" max="10241" width="9" style="1" hidden="1"/>
    <col min="10242" max="10242" width="28.125" style="1" hidden="1"/>
    <col min="10243" max="10243" width="8.125" style="1" hidden="1"/>
    <col min="10244" max="10244" width="9.125" style="1" hidden="1"/>
    <col min="10245" max="10245" width="9.75" style="1" hidden="1"/>
    <col min="10246" max="10246" width="11.125" style="1" hidden="1"/>
    <col min="10247" max="10247" width="10.375" style="1" hidden="1"/>
    <col min="10248" max="10248" width="10.5" style="1" hidden="1"/>
    <col min="10249" max="10497" width="8" style="1" hidden="1"/>
    <col min="10498" max="10498" width="28.125" style="1" hidden="1"/>
    <col min="10499" max="10499" width="8.125" style="1" hidden="1"/>
    <col min="10500" max="10500" width="9.125" style="1" hidden="1"/>
    <col min="10501" max="10501" width="9.75" style="1" hidden="1"/>
    <col min="10502" max="10502" width="11.125" style="1" hidden="1"/>
    <col min="10503" max="10503" width="10.375" style="1" hidden="1"/>
    <col min="10504" max="10504" width="10.5" style="1" hidden="1"/>
    <col min="10505" max="10753" width="8" style="1" hidden="1"/>
    <col min="10754" max="10754" width="28.125" style="1" hidden="1"/>
    <col min="10755" max="10755" width="8.125" style="1" hidden="1"/>
    <col min="10756" max="10756" width="9.125" style="1" hidden="1"/>
    <col min="10757" max="10757" width="9.75" style="1" hidden="1"/>
    <col min="10758" max="10758" width="11.125" style="1" hidden="1"/>
    <col min="10759" max="10759" width="10.375" style="1" hidden="1"/>
    <col min="10760" max="10760" width="10.5" style="1" hidden="1"/>
    <col min="10761" max="11009" width="8" style="1" hidden="1"/>
    <col min="11010" max="11010" width="28.125" style="1" hidden="1"/>
    <col min="11011" max="11011" width="8.125" style="1" hidden="1"/>
    <col min="11012" max="11012" width="9.125" style="1" hidden="1"/>
    <col min="11013" max="11013" width="9.75" style="1" hidden="1"/>
    <col min="11014" max="11014" width="11.125" style="1" hidden="1"/>
    <col min="11015" max="11015" width="10.375" style="1" hidden="1"/>
    <col min="11016" max="11016" width="10.5" style="1" hidden="1"/>
    <col min="11017" max="11265" width="9" style="1" hidden="1"/>
    <col min="11266" max="11266" width="28.125" style="1" hidden="1"/>
    <col min="11267" max="11267" width="8.125" style="1" hidden="1"/>
    <col min="11268" max="11268" width="9.125" style="1" hidden="1"/>
    <col min="11269" max="11269" width="9.75" style="1" hidden="1"/>
    <col min="11270" max="11270" width="11.125" style="1" hidden="1"/>
    <col min="11271" max="11271" width="10.375" style="1" hidden="1"/>
    <col min="11272" max="11272" width="10.5" style="1" hidden="1"/>
    <col min="11273" max="11521" width="8" style="1" hidden="1"/>
    <col min="11522" max="11522" width="28.125" style="1" hidden="1"/>
    <col min="11523" max="11523" width="8.125" style="1" hidden="1"/>
    <col min="11524" max="11524" width="9.125" style="1" hidden="1"/>
    <col min="11525" max="11525" width="9.75" style="1" hidden="1"/>
    <col min="11526" max="11526" width="11.125" style="1" hidden="1"/>
    <col min="11527" max="11527" width="10.375" style="1" hidden="1"/>
    <col min="11528" max="11528" width="10.5" style="1" hidden="1"/>
    <col min="11529" max="11777" width="8" style="1" hidden="1"/>
    <col min="11778" max="11778" width="28.125" style="1" hidden="1"/>
    <col min="11779" max="11779" width="8.125" style="1" hidden="1"/>
    <col min="11780" max="11780" width="9.125" style="1" hidden="1"/>
    <col min="11781" max="11781" width="9.75" style="1" hidden="1"/>
    <col min="11782" max="11782" width="11.125" style="1" hidden="1"/>
    <col min="11783" max="11783" width="10.375" style="1" hidden="1"/>
    <col min="11784" max="11784" width="10.5" style="1" hidden="1"/>
    <col min="11785" max="12033" width="8" style="1" hidden="1"/>
    <col min="12034" max="12034" width="28.125" style="1" hidden="1"/>
    <col min="12035" max="12035" width="8.125" style="1" hidden="1"/>
    <col min="12036" max="12036" width="9.125" style="1" hidden="1"/>
    <col min="12037" max="12037" width="9.75" style="1" hidden="1"/>
    <col min="12038" max="12038" width="11.125" style="1" hidden="1"/>
    <col min="12039" max="12039" width="10.375" style="1" hidden="1"/>
    <col min="12040" max="12040" width="10.5" style="1" hidden="1"/>
    <col min="12041" max="12289" width="9" style="1" hidden="1"/>
    <col min="12290" max="12290" width="28.125" style="1" hidden="1"/>
    <col min="12291" max="12291" width="8.125" style="1" hidden="1"/>
    <col min="12292" max="12292" width="9.125" style="1" hidden="1"/>
    <col min="12293" max="12293" width="9.75" style="1" hidden="1"/>
    <col min="12294" max="12294" width="11.125" style="1" hidden="1"/>
    <col min="12295" max="12295" width="10.375" style="1" hidden="1"/>
    <col min="12296" max="12296" width="10.5" style="1" hidden="1"/>
    <col min="12297" max="12545" width="8" style="1" hidden="1"/>
    <col min="12546" max="12546" width="28.125" style="1" hidden="1"/>
    <col min="12547" max="12547" width="8.125" style="1" hidden="1"/>
    <col min="12548" max="12548" width="9.125" style="1" hidden="1"/>
    <col min="12549" max="12549" width="9.75" style="1" hidden="1"/>
    <col min="12550" max="12550" width="11.125" style="1" hidden="1"/>
    <col min="12551" max="12551" width="10.375" style="1" hidden="1"/>
    <col min="12552" max="12552" width="10.5" style="1" hidden="1"/>
    <col min="12553" max="12801" width="8" style="1" hidden="1"/>
    <col min="12802" max="12802" width="28.125" style="1" hidden="1"/>
    <col min="12803" max="12803" width="8.125" style="1" hidden="1"/>
    <col min="12804" max="12804" width="9.125" style="1" hidden="1"/>
    <col min="12805" max="12805" width="9.75" style="1" hidden="1"/>
    <col min="12806" max="12806" width="11.125" style="1" hidden="1"/>
    <col min="12807" max="12807" width="10.375" style="1" hidden="1"/>
    <col min="12808" max="12808" width="10.5" style="1" hidden="1"/>
    <col min="12809" max="13057" width="8" style="1" hidden="1"/>
    <col min="13058" max="13058" width="28.125" style="1" hidden="1"/>
    <col min="13059" max="13059" width="8.125" style="1" hidden="1"/>
    <col min="13060" max="13060" width="9.125" style="1" hidden="1"/>
    <col min="13061" max="13061" width="9.75" style="1" hidden="1"/>
    <col min="13062" max="13062" width="11.125" style="1" hidden="1"/>
    <col min="13063" max="13063" width="10.375" style="1" hidden="1"/>
    <col min="13064" max="13064" width="10.5" style="1" hidden="1"/>
    <col min="13065" max="13313" width="9" style="1" hidden="1"/>
    <col min="13314" max="13314" width="28.125" style="1" hidden="1"/>
    <col min="13315" max="13315" width="8.125" style="1" hidden="1"/>
    <col min="13316" max="13316" width="9.125" style="1" hidden="1"/>
    <col min="13317" max="13317" width="9.75" style="1" hidden="1"/>
    <col min="13318" max="13318" width="11.125" style="1" hidden="1"/>
    <col min="13319" max="13319" width="10.375" style="1" hidden="1"/>
    <col min="13320" max="13320" width="10.5" style="1" hidden="1"/>
    <col min="13321" max="13569" width="8" style="1" hidden="1"/>
    <col min="13570" max="13570" width="28.125" style="1" hidden="1"/>
    <col min="13571" max="13571" width="8.125" style="1" hidden="1"/>
    <col min="13572" max="13572" width="9.125" style="1" hidden="1"/>
    <col min="13573" max="13573" width="9.75" style="1" hidden="1"/>
    <col min="13574" max="13574" width="11.125" style="1" hidden="1"/>
    <col min="13575" max="13575" width="10.375" style="1" hidden="1"/>
    <col min="13576" max="13576" width="10.5" style="1" hidden="1"/>
    <col min="13577" max="13825" width="8" style="1" hidden="1"/>
    <col min="13826" max="13826" width="28.125" style="1" hidden="1"/>
    <col min="13827" max="13827" width="8.125" style="1" hidden="1"/>
    <col min="13828" max="13828" width="9.125" style="1" hidden="1"/>
    <col min="13829" max="13829" width="9.75" style="1" hidden="1"/>
    <col min="13830" max="13830" width="11.125" style="1" hidden="1"/>
    <col min="13831" max="13831" width="10.375" style="1" hidden="1"/>
    <col min="13832" max="13832" width="10.5" style="1" hidden="1"/>
    <col min="13833" max="14081" width="8" style="1" hidden="1"/>
    <col min="14082" max="14082" width="28.125" style="1" hidden="1"/>
    <col min="14083" max="14083" width="8.125" style="1" hidden="1"/>
    <col min="14084" max="14084" width="9.125" style="1" hidden="1"/>
    <col min="14085" max="14085" width="9.75" style="1" hidden="1"/>
    <col min="14086" max="14086" width="11.125" style="1" hidden="1"/>
    <col min="14087" max="14087" width="10.375" style="1" hidden="1"/>
    <col min="14088" max="14088" width="10.5" style="1" hidden="1"/>
    <col min="14089" max="14337" width="9" style="1" hidden="1"/>
    <col min="14338" max="14338" width="28.125" style="1" hidden="1"/>
    <col min="14339" max="14339" width="8.125" style="1" hidden="1"/>
    <col min="14340" max="14340" width="9.125" style="1" hidden="1"/>
    <col min="14341" max="14341" width="9.75" style="1" hidden="1"/>
    <col min="14342" max="14342" width="11.125" style="1" hidden="1"/>
    <col min="14343" max="14343" width="10.375" style="1" hidden="1"/>
    <col min="14344" max="14344" width="10.5" style="1" hidden="1"/>
    <col min="14345" max="14593" width="8" style="1" hidden="1"/>
    <col min="14594" max="14594" width="28.125" style="1" hidden="1"/>
    <col min="14595" max="14595" width="8.125" style="1" hidden="1"/>
    <col min="14596" max="14596" width="9.125" style="1" hidden="1"/>
    <col min="14597" max="14597" width="9.75" style="1" hidden="1"/>
    <col min="14598" max="14598" width="11.125" style="1" hidden="1"/>
    <col min="14599" max="14599" width="10.375" style="1" hidden="1"/>
    <col min="14600" max="14600" width="10.5" style="1" hidden="1"/>
    <col min="14601" max="14849" width="8" style="1" hidden="1"/>
    <col min="14850" max="14850" width="28.125" style="1" hidden="1"/>
    <col min="14851" max="14851" width="8.125" style="1" hidden="1"/>
    <col min="14852" max="14852" width="9.125" style="1" hidden="1"/>
    <col min="14853" max="14853" width="9.75" style="1" hidden="1"/>
    <col min="14854" max="14854" width="11.125" style="1" hidden="1"/>
    <col min="14855" max="14855" width="10.375" style="1" hidden="1"/>
    <col min="14856" max="14856" width="10.5" style="1" hidden="1"/>
    <col min="14857" max="15105" width="8" style="1" hidden="1"/>
    <col min="15106" max="15106" width="28.125" style="1" hidden="1"/>
    <col min="15107" max="15107" width="8.125" style="1" hidden="1"/>
    <col min="15108" max="15108" width="9.125" style="1" hidden="1"/>
    <col min="15109" max="15109" width="9.75" style="1" hidden="1"/>
    <col min="15110" max="15110" width="11.125" style="1" hidden="1"/>
    <col min="15111" max="15111" width="10.375" style="1" hidden="1"/>
    <col min="15112" max="15112" width="10.5" style="1" hidden="1"/>
    <col min="15113" max="15361" width="9" style="1" hidden="1"/>
    <col min="15362" max="15362" width="28.125" style="1" hidden="1"/>
    <col min="15363" max="15363" width="8.125" style="1" hidden="1"/>
    <col min="15364" max="15364" width="9.125" style="1" hidden="1"/>
    <col min="15365" max="15365" width="9.75" style="1" hidden="1"/>
    <col min="15366" max="15366" width="11.125" style="1" hidden="1"/>
    <col min="15367" max="15367" width="10.375" style="1" hidden="1"/>
    <col min="15368" max="15368" width="10.5" style="1" hidden="1"/>
    <col min="15369" max="15617" width="8" style="1" hidden="1"/>
    <col min="15618" max="15618" width="28.125" style="1" hidden="1"/>
    <col min="15619" max="15619" width="8.125" style="1" hidden="1"/>
    <col min="15620" max="15620" width="9.125" style="1" hidden="1"/>
    <col min="15621" max="15621" width="9.75" style="1" hidden="1"/>
    <col min="15622" max="15622" width="11.125" style="1" hidden="1"/>
    <col min="15623" max="15623" width="10.375" style="1" hidden="1"/>
    <col min="15624" max="15624" width="10.5" style="1" hidden="1"/>
    <col min="15625" max="15873" width="8" style="1" hidden="1"/>
    <col min="15874" max="15874" width="28.125" style="1" hidden="1"/>
    <col min="15875" max="15875" width="8.125" style="1" hidden="1"/>
    <col min="15876" max="15876" width="9.125" style="1" hidden="1"/>
    <col min="15877" max="15877" width="9.75" style="1" hidden="1"/>
    <col min="15878" max="15878" width="11.125" style="1" hidden="1"/>
    <col min="15879" max="15879" width="10.375" style="1" hidden="1"/>
    <col min="15880" max="15880" width="10.5" style="1" hidden="1"/>
    <col min="15881" max="16129" width="8" style="1" hidden="1"/>
    <col min="16130" max="16130" width="28.125" style="1" hidden="1"/>
    <col min="16131" max="16131" width="8.125" style="1" hidden="1"/>
    <col min="16132" max="16132" width="9.125" style="1" hidden="1"/>
    <col min="16133" max="16133" width="9.75" style="1" hidden="1"/>
    <col min="16134" max="16134" width="11.125" style="1" hidden="1"/>
    <col min="16135" max="16135" width="10.375" style="1" hidden="1"/>
    <col min="16136" max="16136" width="10.5" style="1" hidden="1"/>
    <col min="16137" max="16384" width="9" style="1" hidden="1"/>
  </cols>
  <sheetData>
    <row r="1" spans="2:8" ht="15.95" customHeight="1">
      <c r="C1" s="7"/>
      <c r="E1" s="45" t="s">
        <v>29</v>
      </c>
      <c r="F1" s="156" t="s">
        <v>393</v>
      </c>
      <c r="G1" s="4"/>
      <c r="H1" s="4"/>
    </row>
    <row r="2" spans="2:8" ht="15.95" customHeight="1" thickBot="1">
      <c r="B2" s="24"/>
      <c r="C2" s="227"/>
      <c r="E2" s="2"/>
      <c r="F2" s="4"/>
      <c r="G2" s="4"/>
      <c r="H2" s="4"/>
    </row>
    <row r="3" spans="2:8" ht="20.25" customHeight="1">
      <c r="B3" s="308" t="s">
        <v>440</v>
      </c>
      <c r="C3" s="309"/>
      <c r="D3" s="309"/>
      <c r="E3" s="309"/>
      <c r="F3" s="310"/>
      <c r="G3" s="4"/>
      <c r="H3" s="4"/>
    </row>
    <row r="4" spans="2:8" ht="15.95" customHeight="1">
      <c r="B4" s="228"/>
      <c r="C4" s="7"/>
      <c r="E4" s="2"/>
      <c r="F4" s="8"/>
      <c r="G4" s="9"/>
      <c r="H4" s="9"/>
    </row>
    <row r="5" spans="2:8" ht="15.95" customHeight="1">
      <c r="B5" s="44"/>
      <c r="C5" s="54" t="s">
        <v>12</v>
      </c>
      <c r="D5" s="54" t="s">
        <v>17</v>
      </c>
      <c r="E5" s="55" t="s">
        <v>474</v>
      </c>
      <c r="F5" s="56" t="s">
        <v>468</v>
      </c>
      <c r="G5" s="9"/>
      <c r="H5" s="9"/>
    </row>
    <row r="6" spans="2:8" ht="15.95" customHeight="1">
      <c r="B6" s="51" t="s">
        <v>477</v>
      </c>
      <c r="C6" s="41"/>
      <c r="D6" s="41"/>
      <c r="E6" s="9"/>
      <c r="F6" s="8"/>
      <c r="G6" s="9"/>
      <c r="H6" s="9"/>
    </row>
    <row r="7" spans="2:8" ht="15.95" customHeight="1">
      <c r="B7" s="11" t="s">
        <v>435</v>
      </c>
      <c r="C7" s="7" t="s">
        <v>431</v>
      </c>
      <c r="D7" s="7">
        <f>Inputs!F5</f>
        <v>150</v>
      </c>
      <c r="E7" s="229">
        <f>Inputs!F6</f>
        <v>9</v>
      </c>
      <c r="F7" s="153">
        <f>D7*E7</f>
        <v>1350</v>
      </c>
      <c r="G7" s="2"/>
      <c r="H7" s="2"/>
    </row>
    <row r="8" spans="2:8" ht="15.95" customHeight="1">
      <c r="B8" s="11" t="s">
        <v>370</v>
      </c>
      <c r="C8" s="7"/>
      <c r="D8" s="46"/>
      <c r="E8" s="47"/>
      <c r="F8" s="155">
        <f>D8*E8</f>
        <v>0</v>
      </c>
      <c r="G8" s="2"/>
      <c r="H8" s="2"/>
    </row>
    <row r="9" spans="2:8" ht="15.95" customHeight="1">
      <c r="B9" s="43" t="s">
        <v>470</v>
      </c>
      <c r="C9" s="2"/>
      <c r="D9" s="13"/>
      <c r="E9" s="13"/>
      <c r="F9" s="152">
        <f>SUM(F7:F8)</f>
        <v>1350</v>
      </c>
      <c r="G9" s="2"/>
      <c r="H9" s="2"/>
    </row>
    <row r="10" spans="2:8" ht="15.95" customHeight="1">
      <c r="B10" s="5"/>
      <c r="C10" s="2"/>
      <c r="D10" s="13"/>
      <c r="E10" s="2"/>
      <c r="F10" s="12"/>
      <c r="G10" s="2"/>
      <c r="H10" s="2"/>
    </row>
    <row r="11" spans="2:8" ht="15.95" customHeight="1">
      <c r="B11" s="52" t="s">
        <v>476</v>
      </c>
      <c r="C11" s="55" t="s">
        <v>32</v>
      </c>
      <c r="D11" s="55" t="s">
        <v>31</v>
      </c>
      <c r="E11" s="55" t="s">
        <v>475</v>
      </c>
      <c r="F11" s="56" t="s">
        <v>468</v>
      </c>
      <c r="G11" s="14"/>
      <c r="H11" s="14"/>
    </row>
    <row r="12" spans="2:8" ht="15.95" customHeight="1">
      <c r="B12" s="15" t="s">
        <v>33</v>
      </c>
      <c r="C12" s="13"/>
      <c r="D12" s="2"/>
      <c r="F12" s="153">
        <f>C12*D12</f>
        <v>0</v>
      </c>
      <c r="G12" s="2"/>
      <c r="H12" s="2"/>
    </row>
    <row r="13" spans="2:8" ht="15.95" customHeight="1">
      <c r="B13" s="15" t="s">
        <v>34</v>
      </c>
      <c r="C13" s="2"/>
      <c r="D13" s="13"/>
      <c r="E13" s="2"/>
      <c r="F13" s="153">
        <f>SUM(E14:E17)</f>
        <v>125.4</v>
      </c>
      <c r="G13" s="2"/>
      <c r="H13" s="2"/>
    </row>
    <row r="14" spans="2:8" ht="15.95" customHeight="1">
      <c r="B14" s="18" t="s">
        <v>35</v>
      </c>
      <c r="C14" s="58">
        <v>0</v>
      </c>
      <c r="D14" s="13">
        <f>Inputs!D30</f>
        <v>0.6</v>
      </c>
      <c r="E14" s="2">
        <f>C14*D14</f>
        <v>0</v>
      </c>
      <c r="F14" s="153"/>
      <c r="G14" s="2"/>
      <c r="H14" s="2"/>
    </row>
    <row r="15" spans="2:8" ht="15.95" customHeight="1">
      <c r="B15" s="18" t="s">
        <v>36</v>
      </c>
      <c r="C15" s="58">
        <f>Inputs!F20</f>
        <v>70</v>
      </c>
      <c r="D15" s="13">
        <f>Inputs!D31</f>
        <v>0.62</v>
      </c>
      <c r="E15" s="2">
        <f t="shared" ref="E15:E17" si="0">C15*D15</f>
        <v>43.4</v>
      </c>
      <c r="F15" s="153"/>
      <c r="G15" s="2"/>
      <c r="H15" s="2"/>
    </row>
    <row r="16" spans="2:8" ht="15.95" customHeight="1">
      <c r="B16" s="18" t="s">
        <v>22</v>
      </c>
      <c r="C16" s="58">
        <f>Inputs!F21</f>
        <v>200</v>
      </c>
      <c r="D16" s="13">
        <f>Inputs!D32</f>
        <v>0.41</v>
      </c>
      <c r="E16" s="2">
        <f t="shared" si="0"/>
        <v>82</v>
      </c>
      <c r="F16" s="153"/>
      <c r="G16" s="2"/>
      <c r="H16" s="2"/>
    </row>
    <row r="17" spans="2:8" ht="15.95" customHeight="1">
      <c r="B17" s="18" t="s">
        <v>37</v>
      </c>
      <c r="C17" s="58">
        <f>Inputs!F22</f>
        <v>0</v>
      </c>
      <c r="D17" s="13">
        <v>0</v>
      </c>
      <c r="E17" s="2">
        <f t="shared" si="0"/>
        <v>0</v>
      </c>
      <c r="F17" s="179"/>
      <c r="G17" s="2"/>
      <c r="H17" s="2"/>
    </row>
    <row r="18" spans="2:8" ht="15.95" customHeight="1">
      <c r="B18" s="15" t="s">
        <v>38</v>
      </c>
      <c r="C18" s="58"/>
      <c r="D18" s="13"/>
      <c r="E18" s="2"/>
      <c r="F18" s="153">
        <f>Inputs!F34</f>
        <v>62.490156249999998</v>
      </c>
      <c r="G18" s="2"/>
      <c r="H18" s="2"/>
    </row>
    <row r="19" spans="2:8" ht="15.95" customHeight="1">
      <c r="B19" s="15" t="s">
        <v>767</v>
      </c>
      <c r="C19" s="2"/>
      <c r="D19" s="13"/>
      <c r="E19" s="2"/>
      <c r="F19" s="180">
        <v>15</v>
      </c>
      <c r="G19" s="2"/>
      <c r="H19" s="2"/>
    </row>
    <row r="20" spans="2:8" ht="15.95" customHeight="1">
      <c r="B20" s="15" t="s">
        <v>39</v>
      </c>
      <c r="C20" s="2"/>
      <c r="D20" s="13"/>
      <c r="E20" s="2"/>
      <c r="F20" s="180">
        <v>0</v>
      </c>
      <c r="G20" s="2"/>
      <c r="H20" s="2"/>
    </row>
    <row r="21" spans="2:8" ht="15.95" customHeight="1">
      <c r="B21" s="15" t="s">
        <v>40</v>
      </c>
      <c r="C21" s="2"/>
      <c r="D21" s="13"/>
      <c r="E21" s="2"/>
      <c r="F21" s="153">
        <f>H59</f>
        <v>149.04</v>
      </c>
      <c r="G21" s="2"/>
      <c r="H21" s="2"/>
    </row>
    <row r="22" spans="2:8" ht="15.95" customHeight="1">
      <c r="B22" s="15" t="s">
        <v>743</v>
      </c>
      <c r="C22" s="2">
        <f>D71</f>
        <v>6.9732894277903457</v>
      </c>
      <c r="D22" s="13">
        <f>Inputs!D29</f>
        <v>4</v>
      </c>
      <c r="E22" s="2"/>
      <c r="F22" s="153">
        <f>C22*D22</f>
        <v>27.893157711161383</v>
      </c>
      <c r="G22" s="2"/>
      <c r="H22" s="2"/>
    </row>
    <row r="23" spans="2:8" ht="15.95" customHeight="1">
      <c r="B23" s="15" t="s">
        <v>41</v>
      </c>
      <c r="D23" s="13"/>
      <c r="E23" s="2"/>
      <c r="F23" s="153">
        <f>E71-F22-(H51*C71)</f>
        <v>27.560261492279547</v>
      </c>
      <c r="G23" s="2"/>
      <c r="H23" s="2"/>
    </row>
    <row r="24" spans="2:8" ht="15.95" customHeight="1">
      <c r="B24" s="15" t="s">
        <v>42</v>
      </c>
      <c r="C24" s="2">
        <f>C71+Inputs!F23</f>
        <v>2.6067478427021697</v>
      </c>
      <c r="D24" s="13">
        <f>Inputs!D28</f>
        <v>17.309999999999999</v>
      </c>
      <c r="E24" s="2"/>
      <c r="F24" s="153">
        <f>D24*C24</f>
        <v>45.122805157174554</v>
      </c>
      <c r="G24" s="2"/>
      <c r="H24" s="2"/>
    </row>
    <row r="25" spans="2:8" ht="15.95" customHeight="1">
      <c r="B25" s="15" t="s">
        <v>43</v>
      </c>
      <c r="C25" s="2"/>
      <c r="D25" s="13"/>
      <c r="E25" s="2"/>
      <c r="F25" s="180">
        <v>0</v>
      </c>
      <c r="G25" s="2"/>
      <c r="H25" s="2"/>
    </row>
    <row r="26" spans="2:8" ht="15.95" customHeight="1">
      <c r="B26" s="15" t="s">
        <v>24</v>
      </c>
      <c r="C26" s="2">
        <f>SUM(F12:F25)/2</f>
        <v>226.25319030530773</v>
      </c>
      <c r="D26" s="205">
        <f>Inputs!D24</f>
        <v>0.09</v>
      </c>
      <c r="F26" s="155">
        <f>D26*C26</f>
        <v>20.362787127477695</v>
      </c>
      <c r="G26" s="2"/>
      <c r="H26" s="2"/>
    </row>
    <row r="27" spans="2:8" ht="15.95" customHeight="1">
      <c r="B27" s="43" t="s">
        <v>471</v>
      </c>
      <c r="C27" s="2"/>
      <c r="D27" s="13"/>
      <c r="E27" s="2"/>
      <c r="F27" s="152">
        <f>SUM(F12:F26)</f>
        <v>472.86916773809315</v>
      </c>
      <c r="G27" s="2"/>
      <c r="H27" s="2"/>
    </row>
    <row r="28" spans="2:8" ht="15.95" customHeight="1">
      <c r="B28" s="5"/>
      <c r="C28" s="2"/>
      <c r="D28" s="13"/>
      <c r="E28" s="2"/>
      <c r="F28" s="179"/>
      <c r="G28" s="2"/>
      <c r="H28" s="2"/>
    </row>
    <row r="29" spans="2:8" ht="15.95" customHeight="1">
      <c r="B29" s="52" t="s">
        <v>770</v>
      </c>
      <c r="C29" s="2"/>
      <c r="D29" s="13"/>
      <c r="E29" s="2"/>
      <c r="F29" s="153"/>
      <c r="G29" s="4"/>
      <c r="H29" s="14"/>
    </row>
    <row r="30" spans="2:8" ht="15.95" customHeight="1">
      <c r="B30" s="15" t="s">
        <v>28</v>
      </c>
      <c r="C30" s="4"/>
      <c r="D30" s="13"/>
      <c r="E30" s="2"/>
      <c r="F30" s="153">
        <f>Inputs!F37</f>
        <v>21.66</v>
      </c>
      <c r="G30" s="2"/>
      <c r="H30" s="4"/>
    </row>
    <row r="31" spans="2:8" ht="15.95" customHeight="1">
      <c r="B31" s="15" t="s">
        <v>749</v>
      </c>
      <c r="C31" s="2"/>
      <c r="D31" s="13"/>
      <c r="E31" s="2"/>
      <c r="F31" s="153">
        <f>F71</f>
        <v>95.336621882631846</v>
      </c>
      <c r="G31" s="2"/>
      <c r="H31" s="2"/>
    </row>
    <row r="32" spans="2:8" ht="15.95" customHeight="1">
      <c r="B32" s="15" t="s">
        <v>44</v>
      </c>
      <c r="C32" s="2"/>
      <c r="D32" s="13"/>
      <c r="E32" s="2"/>
      <c r="F32" s="155">
        <f>Inputs!F38</f>
        <v>120.71654367273331</v>
      </c>
      <c r="H32" s="2"/>
    </row>
    <row r="33" spans="2:8" ht="15.95" customHeight="1">
      <c r="B33" s="43" t="s">
        <v>472</v>
      </c>
      <c r="C33" s="2"/>
      <c r="D33" s="13"/>
      <c r="E33" s="2"/>
      <c r="F33" s="152">
        <f>SUM(F30:F32)</f>
        <v>237.71316555536515</v>
      </c>
      <c r="G33" s="2"/>
      <c r="H33" s="2"/>
    </row>
    <row r="34" spans="2:8" ht="15.95" customHeight="1">
      <c r="B34" s="5"/>
      <c r="C34" s="2"/>
      <c r="D34" s="13"/>
      <c r="E34" s="2"/>
      <c r="F34" s="153"/>
      <c r="G34" s="2"/>
      <c r="H34" s="2"/>
    </row>
    <row r="35" spans="2:8" ht="15.95" customHeight="1">
      <c r="B35" s="48" t="s">
        <v>473</v>
      </c>
      <c r="C35" s="10"/>
      <c r="D35" s="19"/>
      <c r="E35" s="19"/>
      <c r="F35" s="154">
        <f>F27+F33</f>
        <v>710.5823332934583</v>
      </c>
      <c r="G35" s="14"/>
      <c r="H35" s="14"/>
    </row>
    <row r="36" spans="2:8" ht="15.95" customHeight="1">
      <c r="B36" s="5"/>
      <c r="C36" s="2"/>
      <c r="D36" s="13"/>
      <c r="E36" s="2"/>
      <c r="F36" s="153"/>
      <c r="G36" s="2"/>
      <c r="H36" s="2"/>
    </row>
    <row r="37" spans="2:8" ht="15.95" customHeight="1">
      <c r="B37" s="42" t="s">
        <v>768</v>
      </c>
      <c r="C37" s="2"/>
      <c r="D37" s="13"/>
      <c r="E37" s="2"/>
      <c r="F37" s="152">
        <f>F9-F27</f>
        <v>877.13083226190679</v>
      </c>
      <c r="G37" s="14"/>
      <c r="H37" s="14"/>
    </row>
    <row r="38" spans="2:8" ht="15.95" customHeight="1">
      <c r="B38" s="42" t="s">
        <v>769</v>
      </c>
      <c r="C38" s="2"/>
      <c r="D38" s="13"/>
      <c r="E38" s="2"/>
      <c r="F38" s="152">
        <f>F9-F35</f>
        <v>639.4176667065417</v>
      </c>
      <c r="G38" s="4"/>
      <c r="H38" s="2"/>
    </row>
    <row r="39" spans="2:8" ht="15.95" customHeight="1">
      <c r="B39" s="210"/>
      <c r="C39" s="10"/>
      <c r="D39" s="19"/>
      <c r="E39" s="10"/>
      <c r="F39" s="230"/>
      <c r="G39" s="2"/>
      <c r="H39" s="2"/>
    </row>
    <row r="40" spans="2:8" ht="15.95" customHeight="1">
      <c r="B40" s="231"/>
      <c r="C40" s="232"/>
      <c r="D40" s="232" t="s">
        <v>45</v>
      </c>
      <c r="E40" s="232"/>
      <c r="F40" s="233">
        <f>F27/D7</f>
        <v>3.1524611182539544</v>
      </c>
      <c r="G40" s="2"/>
      <c r="H40" s="2"/>
    </row>
    <row r="41" spans="2:8" ht="15.95" customHeight="1">
      <c r="B41" s="5"/>
      <c r="C41" s="2"/>
      <c r="D41" s="2" t="s">
        <v>46</v>
      </c>
      <c r="E41" s="2"/>
      <c r="F41" s="234">
        <f>F33/D7</f>
        <v>1.5847544370357676</v>
      </c>
      <c r="G41" s="4"/>
      <c r="H41" s="4"/>
    </row>
    <row r="42" spans="2:8" ht="15.95" customHeight="1" thickBot="1">
      <c r="B42" s="20"/>
      <c r="C42" s="21"/>
      <c r="D42" s="21" t="s">
        <v>47</v>
      </c>
      <c r="E42" s="21"/>
      <c r="F42" s="235">
        <f>F35/D7</f>
        <v>4.7372155552897217</v>
      </c>
      <c r="G42" s="2"/>
      <c r="H42" s="2"/>
    </row>
    <row r="43" spans="2:8" ht="15.95" customHeight="1">
      <c r="B43" s="4"/>
      <c r="C43" s="2"/>
      <c r="D43" s="13"/>
      <c r="E43" s="2"/>
      <c r="F43" s="4"/>
      <c r="G43" s="2"/>
      <c r="H43" s="2"/>
    </row>
    <row r="44" spans="2:8">
      <c r="G44" s="4"/>
      <c r="H44" s="4"/>
    </row>
    <row r="45" spans="2:8">
      <c r="G45" s="4"/>
      <c r="H45" s="4"/>
    </row>
    <row r="46" spans="2:8">
      <c r="B46" s="27" t="s">
        <v>378</v>
      </c>
      <c r="C46" s="28" t="s">
        <v>779</v>
      </c>
      <c r="D46" s="166"/>
      <c r="E46" s="27" t="s">
        <v>386</v>
      </c>
      <c r="F46" s="27"/>
      <c r="G46" s="137"/>
      <c r="H46" s="28" t="s">
        <v>399</v>
      </c>
    </row>
    <row r="47" spans="2:8">
      <c r="B47" s="49" t="s">
        <v>379</v>
      </c>
      <c r="C47" s="49">
        <f>D7</f>
        <v>150</v>
      </c>
      <c r="D47" s="49"/>
      <c r="E47" s="49" t="s">
        <v>387</v>
      </c>
      <c r="F47" s="49"/>
      <c r="G47" s="49"/>
      <c r="H47" s="146">
        <f>E7</f>
        <v>9</v>
      </c>
    </row>
    <row r="48" spans="2:8">
      <c r="B48" s="49" t="s">
        <v>381</v>
      </c>
      <c r="C48" s="167">
        <f>C15</f>
        <v>70</v>
      </c>
      <c r="D48" s="49"/>
      <c r="E48" s="49" t="s">
        <v>402</v>
      </c>
      <c r="F48" s="49"/>
      <c r="G48" s="49"/>
      <c r="H48" s="146">
        <f>D15</f>
        <v>0.62</v>
      </c>
    </row>
    <row r="49" spans="2:8">
      <c r="B49" s="49" t="s">
        <v>382</v>
      </c>
      <c r="C49" s="167">
        <f>C16</f>
        <v>200</v>
      </c>
      <c r="D49" s="49"/>
      <c r="E49" s="49" t="s">
        <v>390</v>
      </c>
      <c r="F49" s="49"/>
      <c r="G49" s="49"/>
      <c r="H49" s="146">
        <f>D16</f>
        <v>0.41</v>
      </c>
    </row>
    <row r="50" spans="2:8">
      <c r="B50" s="49" t="s">
        <v>383</v>
      </c>
      <c r="C50" s="168">
        <f>C17</f>
        <v>0</v>
      </c>
      <c r="D50" s="49"/>
      <c r="E50" s="49" t="s">
        <v>391</v>
      </c>
      <c r="F50" s="49"/>
      <c r="G50" s="49"/>
      <c r="H50" s="146">
        <f>D17</f>
        <v>0</v>
      </c>
    </row>
    <row r="51" spans="2:8">
      <c r="B51" s="49" t="s">
        <v>384</v>
      </c>
      <c r="C51" s="169">
        <f>C24</f>
        <v>2.6067478427021697</v>
      </c>
      <c r="D51" s="49"/>
      <c r="E51" s="49" t="s">
        <v>802</v>
      </c>
      <c r="F51" s="49"/>
      <c r="G51" s="49"/>
      <c r="H51" s="146">
        <f>Inputs!D28</f>
        <v>17.309999999999999</v>
      </c>
    </row>
    <row r="52" spans="2:8">
      <c r="B52" s="49" t="s">
        <v>385</v>
      </c>
      <c r="C52" s="247">
        <f>D26</f>
        <v>0.09</v>
      </c>
      <c r="D52" s="49"/>
      <c r="E52" s="49" t="s">
        <v>392</v>
      </c>
      <c r="F52" s="49"/>
      <c r="G52" s="49"/>
      <c r="H52" s="146">
        <f>Inputs!D29</f>
        <v>4</v>
      </c>
    </row>
    <row r="53" spans="2:8">
      <c r="B53" s="49"/>
      <c r="C53" s="49"/>
      <c r="D53" s="49"/>
      <c r="E53" s="49"/>
      <c r="F53" s="49"/>
      <c r="G53" s="49"/>
      <c r="H53" s="146"/>
    </row>
    <row r="54" spans="2:8">
      <c r="B54" s="49"/>
      <c r="C54" s="49"/>
      <c r="D54" s="49"/>
      <c r="E54" s="49"/>
      <c r="F54" s="49"/>
      <c r="G54" s="49"/>
      <c r="H54" s="49"/>
    </row>
    <row r="55" spans="2:8">
      <c r="B55" s="49" t="s">
        <v>751</v>
      </c>
      <c r="C55" s="160" t="s">
        <v>756</v>
      </c>
      <c r="D55" s="49"/>
      <c r="E55" s="49"/>
      <c r="F55" s="49"/>
      <c r="G55" s="49"/>
      <c r="H55" s="49"/>
    </row>
    <row r="56" spans="2:8">
      <c r="B56" s="312" t="s">
        <v>752</v>
      </c>
      <c r="C56" s="312"/>
      <c r="D56" s="138" t="s">
        <v>698</v>
      </c>
      <c r="E56" s="174" t="s">
        <v>742</v>
      </c>
      <c r="F56" s="137" t="s">
        <v>753</v>
      </c>
      <c r="G56" s="137" t="s">
        <v>754</v>
      </c>
      <c r="H56" s="137" t="s">
        <v>755</v>
      </c>
    </row>
    <row r="57" spans="2:8">
      <c r="B57" s="316" t="str">
        <f>'Custom Hire'!B18</f>
        <v xml:space="preserve">Apply dry fertilizer on cropland, single spread </v>
      </c>
      <c r="C57" s="316"/>
      <c r="D57" s="218">
        <f>'Custom Hire'!E18</f>
        <v>2</v>
      </c>
      <c r="E57" s="219">
        <f>'Custom Hire'!C18</f>
        <v>7.02</v>
      </c>
      <c r="F57" s="145" t="str">
        <f>'Custom Hire'!D18</f>
        <v>per acre</v>
      </c>
      <c r="G57" s="49" t="str">
        <f>IF(F57="per acre","",IF(F57="per bale",$D$7,'Alfalfa Establishment'!$D$7*Inputs!$F$25/2000))</f>
        <v/>
      </c>
      <c r="H57" s="146">
        <f>E57*MAX(D57,G57)</f>
        <v>14.04</v>
      </c>
    </row>
    <row r="58" spans="2:8">
      <c r="B58" s="315" t="str">
        <f>'Custom Hire'!B19</f>
        <v>Accumulate and stack small square bales and haul locally (mechanical collection)</v>
      </c>
      <c r="C58" s="315"/>
      <c r="D58" s="220">
        <f>'Custom Hire'!E19</f>
        <v>0</v>
      </c>
      <c r="E58" s="221">
        <f>'Custom Hire'!C19</f>
        <v>0.9</v>
      </c>
      <c r="F58" s="137" t="str">
        <f>'Custom Hire'!D19</f>
        <v>per bale</v>
      </c>
      <c r="G58" s="137">
        <f>IF(F58="per acre","",IF(F58="per bale",$D$7,'Alfalfa Establishment'!$D$7*Inputs!$F$25/2000))</f>
        <v>150</v>
      </c>
      <c r="H58" s="147">
        <f>E58*MAX(D58,G58)</f>
        <v>135</v>
      </c>
    </row>
    <row r="59" spans="2:8">
      <c r="B59" s="45" t="s">
        <v>468</v>
      </c>
      <c r="C59" s="139"/>
      <c r="D59" s="140"/>
      <c r="E59" s="222"/>
      <c r="F59" s="139"/>
      <c r="G59" s="139"/>
      <c r="H59" s="146">
        <f>SUM(H57:H58)</f>
        <v>149.04</v>
      </c>
    </row>
    <row r="60" spans="2:8">
      <c r="B60" s="49"/>
      <c r="C60" s="49"/>
      <c r="D60" s="49"/>
      <c r="E60" s="49"/>
      <c r="F60" s="49"/>
      <c r="G60" s="49"/>
      <c r="H60" s="49"/>
    </row>
    <row r="61" spans="2:8">
      <c r="B61" s="49" t="s">
        <v>772</v>
      </c>
      <c r="C61" s="160" t="s">
        <v>704</v>
      </c>
      <c r="D61" s="143"/>
      <c r="E61" s="30"/>
      <c r="F61" s="30"/>
      <c r="G61" s="30"/>
      <c r="H61" s="29"/>
    </row>
    <row r="62" spans="2:8">
      <c r="B62" s="25"/>
      <c r="C62" s="26" t="s">
        <v>394</v>
      </c>
      <c r="D62" s="26" t="s">
        <v>395</v>
      </c>
      <c r="E62" s="26" t="s">
        <v>422</v>
      </c>
      <c r="F62" s="26" t="s">
        <v>423</v>
      </c>
      <c r="G62" s="26"/>
      <c r="H62" s="26" t="s">
        <v>424</v>
      </c>
    </row>
    <row r="63" spans="2:8">
      <c r="B63" s="25"/>
      <c r="C63" s="26" t="s">
        <v>425</v>
      </c>
      <c r="D63" s="26" t="s">
        <v>426</v>
      </c>
      <c r="E63" s="26" t="s">
        <v>720</v>
      </c>
      <c r="F63" s="26" t="s">
        <v>433</v>
      </c>
      <c r="G63" s="26" t="s">
        <v>698</v>
      </c>
      <c r="H63" s="26" t="s">
        <v>427</v>
      </c>
    </row>
    <row r="64" spans="2:8">
      <c r="B64" s="27" t="s">
        <v>397</v>
      </c>
      <c r="C64" s="28" t="s">
        <v>398</v>
      </c>
      <c r="D64" s="28" t="s">
        <v>398</v>
      </c>
      <c r="E64" s="28" t="s">
        <v>428</v>
      </c>
      <c r="F64" s="28" t="s">
        <v>428</v>
      </c>
      <c r="G64" s="28" t="s">
        <v>398</v>
      </c>
      <c r="H64" s="28" t="s">
        <v>721</v>
      </c>
    </row>
    <row r="65" spans="1:8">
      <c r="B65" s="163" t="str">
        <f>CONCATENATE(Equipment!B36," - ",Equipment!C36)</f>
        <v>Boom sprayer - pull-type, 90 Ft Folding - 130 HP MFWD</v>
      </c>
      <c r="C65" s="130">
        <f>Equipment!E36</f>
        <v>2.7120315581854043E-2</v>
      </c>
      <c r="D65" s="130">
        <f>Equipment!D36</f>
        <v>0.13651282051282052</v>
      </c>
      <c r="E65" s="130">
        <f>Equipment!F36</f>
        <v>1.4904592175966394</v>
      </c>
      <c r="F65" s="130">
        <f>Equipment!G36</f>
        <v>5.1936276705683708</v>
      </c>
      <c r="G65" s="131">
        <f>Equipment!H36</f>
        <v>2</v>
      </c>
      <c r="H65" s="130">
        <f>Equipment!I36</f>
        <v>13.368173776330021</v>
      </c>
    </row>
    <row r="66" spans="1:8">
      <c r="A66" s="22"/>
      <c r="B66" s="163" t="str">
        <f>CONCATENATE(Equipment!B37," - ",Equipment!C37)</f>
        <v>Disk mower/conditioner, 12 Ft - 130 HP MFWD</v>
      </c>
      <c r="C66" s="26">
        <f>Equipment!E37</f>
        <v>0.13882211538461536</v>
      </c>
      <c r="D66" s="26">
        <f>Equipment!D37</f>
        <v>0.83187499999999981</v>
      </c>
      <c r="E66" s="26">
        <f>Equipment!F37</f>
        <v>7.397874599358973</v>
      </c>
      <c r="F66" s="26">
        <f>Equipment!G37</f>
        <v>11.79143688110536</v>
      </c>
      <c r="G66" s="132">
        <f>Equipment!H37</f>
        <v>4</v>
      </c>
      <c r="H66" s="26">
        <f>Equipment!I37</f>
        <v>76.757245921857333</v>
      </c>
    </row>
    <row r="67" spans="1:8" s="22" customFormat="1">
      <c r="A67" s="1"/>
      <c r="B67" s="163" t="str">
        <f>CONCATENATE(Equipment!B38," - ",Equipment!C38)</f>
        <v>Hay tedder, 16 Ft Folding - 75 HP TWD</v>
      </c>
      <c r="C67" s="26">
        <f>Equipment!E38</f>
        <v>6.1874999999999999E-2</v>
      </c>
      <c r="D67" s="26">
        <f>Equipment!D38</f>
        <v>0.22020220588235292</v>
      </c>
      <c r="E67" s="26">
        <f>Equipment!F38</f>
        <v>2.1408760544197047</v>
      </c>
      <c r="F67" s="26">
        <f>Equipment!G38</f>
        <v>2.7167820673957586</v>
      </c>
      <c r="G67" s="132">
        <f>Equipment!H38</f>
        <v>2</v>
      </c>
      <c r="H67" s="26">
        <f>Equipment!I38</f>
        <v>9.7153162436309266</v>
      </c>
    </row>
    <row r="68" spans="1:8">
      <c r="B68" s="163" t="str">
        <f>CONCATENATE(Equipment!B39," - ",Equipment!C39)</f>
        <v>Hay rake, 20 Ft Folding - 75 HP TWD</v>
      </c>
      <c r="C68" s="26">
        <f>Equipment!E39</f>
        <v>6.5742187500000007E-2</v>
      </c>
      <c r="D68" s="26">
        <f>Equipment!D39</f>
        <v>0.23396484374999998</v>
      </c>
      <c r="E68" s="26">
        <f>Equipment!F39</f>
        <v>2.3501172393831915</v>
      </c>
      <c r="F68" s="26">
        <f>Equipment!G39</f>
        <v>1.780662339858796</v>
      </c>
      <c r="G68" s="132">
        <f>Equipment!H39</f>
        <v>4</v>
      </c>
      <c r="H68" s="26">
        <f>Equipment!I39</f>
        <v>16.523118316967949</v>
      </c>
    </row>
    <row r="69" spans="1:8">
      <c r="B69" s="163" t="str">
        <f>CONCATENATE(Equipment!B40," - ",Equipment!C40)</f>
        <v>Small square baler, twine tie, 20 Ft - 75 HP TWD</v>
      </c>
      <c r="C69" s="26">
        <f>Equipment!E40</f>
        <v>0.15262500000000004</v>
      </c>
      <c r="D69" s="26">
        <f>Equipment!D40</f>
        <v>0.49912500000000004</v>
      </c>
      <c r="E69" s="26">
        <f>Equipment!F40</f>
        <v>7.5028966154035324</v>
      </c>
      <c r="F69" s="26">
        <f>Equipment!G40</f>
        <v>4.556851380711743</v>
      </c>
      <c r="G69" s="132">
        <f>Equipment!H40</f>
        <v>4</v>
      </c>
      <c r="H69" s="26">
        <f>Equipment!I40</f>
        <v>48.238991984461101</v>
      </c>
    </row>
    <row r="70" spans="1:8">
      <c r="B70" s="164" t="str">
        <f>Equipment!B42</f>
        <v>Pickup truck</v>
      </c>
      <c r="C70" s="28"/>
      <c r="D70" s="28"/>
      <c r="E70" s="28">
        <f>Equipment!F42</f>
        <v>7</v>
      </c>
      <c r="F70" s="28">
        <f>Equipment!G42</f>
        <v>7</v>
      </c>
      <c r="G70" s="133"/>
      <c r="H70" s="28">
        <f>Equipment!I42</f>
        <v>14</v>
      </c>
    </row>
    <row r="71" spans="1:8">
      <c r="B71" s="26" t="s">
        <v>468</v>
      </c>
      <c r="C71" s="26">
        <f>SUMPRODUCT(C65:C69,$G$65:$G$69)</f>
        <v>1.6067478427021697</v>
      </c>
      <c r="D71" s="26">
        <f>SUMPRODUCT(D65:D69,$G$65:$G$69)</f>
        <v>6.9732894277903457</v>
      </c>
      <c r="E71" s="26">
        <f>SUMPRODUCT(E65:E69,$G$65:$G$69)+E70</f>
        <v>83.266224360615482</v>
      </c>
      <c r="F71" s="26">
        <f>SUMPRODUCT(F65:F69,$G$65:$G$69)+F70</f>
        <v>95.336621882631846</v>
      </c>
      <c r="G71" s="132">
        <f t="shared" ref="G71" si="1">SUM(G65:G69)</f>
        <v>16</v>
      </c>
      <c r="H71" s="26">
        <f>SUM(H65:H70)</f>
        <v>178.60284624324734</v>
      </c>
    </row>
    <row r="72" spans="1:8">
      <c r="B72" s="49" t="s">
        <v>776</v>
      </c>
      <c r="C72" s="49"/>
      <c r="D72" s="49"/>
      <c r="E72" s="49"/>
      <c r="F72" s="49"/>
      <c r="G72" s="49"/>
      <c r="H72" s="139"/>
    </row>
    <row r="73" spans="1:8">
      <c r="B73" s="49" t="s">
        <v>777</v>
      </c>
      <c r="C73" s="49"/>
      <c r="D73" s="49"/>
      <c r="E73" s="49"/>
      <c r="F73" s="49"/>
      <c r="G73" s="49"/>
      <c r="H73" s="169">
        <f>H71+H59</f>
        <v>327.64284624324733</v>
      </c>
    </row>
    <row r="74" spans="1:8">
      <c r="B74" s="49" t="s">
        <v>778</v>
      </c>
      <c r="C74" s="49"/>
      <c r="D74" s="49"/>
      <c r="E74" s="49"/>
      <c r="F74" s="49"/>
      <c r="G74" s="49"/>
      <c r="H74" s="169"/>
    </row>
    <row r="75" spans="1:8">
      <c r="B75" s="49"/>
      <c r="C75" s="49"/>
      <c r="D75" s="49"/>
      <c r="E75" s="49"/>
      <c r="F75" s="49"/>
      <c r="G75" s="49"/>
      <c r="H75" s="49"/>
    </row>
    <row r="76" spans="1:8">
      <c r="B76" s="49"/>
      <c r="C76" s="49"/>
      <c r="D76" s="49"/>
      <c r="E76" s="49"/>
      <c r="F76" s="49"/>
      <c r="G76" s="49"/>
      <c r="H76" s="49"/>
    </row>
    <row r="77" spans="1:8">
      <c r="B77" s="49" t="s">
        <v>725</v>
      </c>
      <c r="C77" s="49"/>
      <c r="D77" s="49"/>
      <c r="E77" s="49"/>
      <c r="F77" s="49"/>
      <c r="G77" s="49"/>
      <c r="H77" s="49"/>
    </row>
    <row r="78" spans="1:8">
      <c r="B78" s="49" t="s">
        <v>726</v>
      </c>
      <c r="C78" s="49"/>
      <c r="D78" s="49"/>
      <c r="E78" s="49"/>
      <c r="F78" s="49"/>
      <c r="G78" s="49"/>
      <c r="H78" s="49"/>
    </row>
    <row r="79" spans="1:8">
      <c r="B79" s="49" t="s">
        <v>727</v>
      </c>
      <c r="C79" s="49"/>
      <c r="D79" s="49"/>
      <c r="E79" s="49"/>
      <c r="F79" s="49"/>
      <c r="G79" s="49"/>
      <c r="H79" s="49"/>
    </row>
    <row r="80" spans="1:8">
      <c r="B80" s="49" t="s">
        <v>728</v>
      </c>
      <c r="C80" s="49"/>
      <c r="D80" s="49"/>
      <c r="E80" s="49"/>
      <c r="F80" s="49"/>
      <c r="G80" s="49"/>
      <c r="H80" s="49"/>
    </row>
    <row r="775" spans="2:3" hidden="1">
      <c r="B775" s="1" t="s">
        <v>48</v>
      </c>
    </row>
    <row r="776" spans="2:3" hidden="1">
      <c r="B776" s="1" t="s">
        <v>49</v>
      </c>
      <c r="C776" s="1">
        <v>6</v>
      </c>
    </row>
    <row r="777" spans="2:3" hidden="1">
      <c r="B777" s="1" t="s">
        <v>50</v>
      </c>
      <c r="C777" s="1">
        <v>1</v>
      </c>
    </row>
    <row r="778" spans="2:3" hidden="1">
      <c r="B778" s="1" t="s">
        <v>51</v>
      </c>
      <c r="C778" s="1">
        <v>1</v>
      </c>
    </row>
    <row r="779" spans="2:3" hidden="1">
      <c r="B779" s="1" t="s">
        <v>52</v>
      </c>
      <c r="C779" s="1">
        <v>2</v>
      </c>
    </row>
    <row r="780" spans="2:3" hidden="1">
      <c r="B780" s="1" t="s">
        <v>53</v>
      </c>
      <c r="C780" s="1">
        <v>1</v>
      </c>
    </row>
    <row r="781" spans="2:3" hidden="1">
      <c r="B781" s="1" t="s">
        <v>54</v>
      </c>
      <c r="C781" s="1">
        <v>0</v>
      </c>
    </row>
    <row r="782" spans="2:3" hidden="1">
      <c r="B782" s="1" t="s">
        <v>55</v>
      </c>
      <c r="C782" s="1">
        <v>0</v>
      </c>
    </row>
    <row r="783" spans="2:3" hidden="1">
      <c r="B783" s="1" t="s">
        <v>56</v>
      </c>
      <c r="C783" s="1">
        <v>0</v>
      </c>
    </row>
    <row r="784" spans="2:3" hidden="1">
      <c r="B784" s="1" t="s">
        <v>57</v>
      </c>
      <c r="C784" s="1">
        <v>0</v>
      </c>
    </row>
    <row r="785" spans="2:3" hidden="1">
      <c r="B785" s="1" t="s">
        <v>58</v>
      </c>
      <c r="C785" s="1">
        <v>0</v>
      </c>
    </row>
    <row r="786" spans="2:3" hidden="1">
      <c r="B786" s="1" t="s">
        <v>59</v>
      </c>
      <c r="C786" s="1">
        <v>0</v>
      </c>
    </row>
    <row r="787" spans="2:3" hidden="1">
      <c r="B787" s="1" t="s">
        <v>60</v>
      </c>
      <c r="C787" s="1" t="b">
        <v>1</v>
      </c>
    </row>
    <row r="788" spans="2:3" hidden="1">
      <c r="B788" s="1" t="s">
        <v>61</v>
      </c>
      <c r="C788" s="1">
        <v>0</v>
      </c>
    </row>
    <row r="789" spans="2:3" hidden="1">
      <c r="B789" s="1" t="s">
        <v>62</v>
      </c>
      <c r="C789" s="1" t="b">
        <v>1</v>
      </c>
    </row>
    <row r="790" spans="2:3" hidden="1">
      <c r="B790" s="1" t="s">
        <v>63</v>
      </c>
      <c r="C790" s="1">
        <v>0</v>
      </c>
    </row>
    <row r="791" spans="2:3" hidden="1">
      <c r="B791" s="1" t="s">
        <v>64</v>
      </c>
      <c r="C791" s="1">
        <v>0</v>
      </c>
    </row>
    <row r="792" spans="2:3" hidden="1">
      <c r="B792" s="1" t="s">
        <v>65</v>
      </c>
      <c r="C792" s="1">
        <v>0</v>
      </c>
    </row>
    <row r="793" spans="2:3" hidden="1">
      <c r="B793" s="1" t="s">
        <v>66</v>
      </c>
      <c r="C793" s="1">
        <v>0</v>
      </c>
    </row>
    <row r="794" spans="2:3" hidden="1">
      <c r="B794" s="1" t="s">
        <v>67</v>
      </c>
      <c r="C794" s="1">
        <v>0</v>
      </c>
    </row>
    <row r="795" spans="2:3" hidden="1">
      <c r="B795" s="1" t="s">
        <v>68</v>
      </c>
      <c r="C795" s="1">
        <v>0</v>
      </c>
    </row>
    <row r="796" spans="2:3" hidden="1">
      <c r="B796" s="1" t="s">
        <v>69</v>
      </c>
      <c r="C796" s="1">
        <v>0</v>
      </c>
    </row>
    <row r="797" spans="2:3" hidden="1">
      <c r="B797" s="1" t="s">
        <v>70</v>
      </c>
      <c r="C797" s="1" t="s">
        <v>71</v>
      </c>
    </row>
    <row r="798" spans="2:3" hidden="1">
      <c r="B798" s="1" t="s">
        <v>72</v>
      </c>
      <c r="C798" s="1">
        <v>100</v>
      </c>
    </row>
    <row r="799" spans="2:3" hidden="1">
      <c r="B799" s="1" t="s">
        <v>73</v>
      </c>
      <c r="C799" s="1">
        <v>55</v>
      </c>
    </row>
    <row r="800" spans="2:3" hidden="1">
      <c r="B800" s="1" t="s">
        <v>74</v>
      </c>
      <c r="C800" s="1">
        <v>5.3</v>
      </c>
    </row>
    <row r="801" spans="2:3" hidden="1">
      <c r="B801" s="1" t="s">
        <v>75</v>
      </c>
      <c r="C801" s="1">
        <v>0</v>
      </c>
    </row>
    <row r="802" spans="2:3" hidden="1">
      <c r="B802" s="1" t="s">
        <v>76</v>
      </c>
      <c r="C802" s="1">
        <v>0</v>
      </c>
    </row>
    <row r="803" spans="2:3" hidden="1">
      <c r="B803" s="1" t="s">
        <v>77</v>
      </c>
      <c r="C803" s="1">
        <v>0</v>
      </c>
    </row>
    <row r="804" spans="2:3" hidden="1">
      <c r="B804" s="1" t="s">
        <v>78</v>
      </c>
      <c r="C804" s="1">
        <v>0</v>
      </c>
    </row>
    <row r="805" spans="2:3" hidden="1">
      <c r="B805" s="1" t="s">
        <v>79</v>
      </c>
      <c r="C805" s="1">
        <v>0</v>
      </c>
    </row>
    <row r="806" spans="2:3" hidden="1">
      <c r="B806" s="1" t="s">
        <v>80</v>
      </c>
      <c r="C806" s="1">
        <v>0</v>
      </c>
    </row>
    <row r="807" spans="2:3" hidden="1">
      <c r="B807" s="1" t="s">
        <v>81</v>
      </c>
      <c r="C807" s="1">
        <v>0</v>
      </c>
    </row>
    <row r="808" spans="2:3" hidden="1">
      <c r="B808" s="1" t="s">
        <v>82</v>
      </c>
      <c r="C808" s="1">
        <v>18</v>
      </c>
    </row>
    <row r="809" spans="2:3" hidden="1">
      <c r="B809" s="1" t="s">
        <v>83</v>
      </c>
      <c r="C809" s="1">
        <v>0</v>
      </c>
    </row>
    <row r="810" spans="2:3" hidden="1">
      <c r="B810" s="1" t="s">
        <v>84</v>
      </c>
      <c r="C810" s="1">
        <v>0</v>
      </c>
    </row>
    <row r="811" spans="2:3" hidden="1">
      <c r="B811" s="1" t="s">
        <v>85</v>
      </c>
      <c r="C811" s="1">
        <v>0</v>
      </c>
    </row>
    <row r="812" spans="2:3" hidden="1">
      <c r="B812" s="1" t="s">
        <v>86</v>
      </c>
      <c r="C812" s="1">
        <v>0</v>
      </c>
    </row>
    <row r="813" spans="2:3" hidden="1">
      <c r="B813" s="1" t="s">
        <v>87</v>
      </c>
      <c r="C813" s="1">
        <v>0</v>
      </c>
    </row>
    <row r="814" spans="2:3" hidden="1">
      <c r="B814" s="1" t="s">
        <v>88</v>
      </c>
      <c r="C814" s="1">
        <v>100</v>
      </c>
    </row>
    <row r="815" spans="2:3" hidden="1">
      <c r="B815" s="1" t="s">
        <v>89</v>
      </c>
      <c r="C815" s="1">
        <v>0</v>
      </c>
    </row>
    <row r="816" spans="2:3" hidden="1">
      <c r="B816" s="1" t="s">
        <v>90</v>
      </c>
      <c r="C816" s="1">
        <v>0</v>
      </c>
    </row>
    <row r="817" spans="2:3" hidden="1">
      <c r="B817" s="1" t="s">
        <v>91</v>
      </c>
      <c r="C817" s="1">
        <v>0</v>
      </c>
    </row>
    <row r="818" spans="2:3" hidden="1">
      <c r="B818" s="1" t="s">
        <v>92</v>
      </c>
      <c r="C818" s="1">
        <v>75</v>
      </c>
    </row>
    <row r="819" spans="2:3" hidden="1">
      <c r="B819" s="1" t="s">
        <v>93</v>
      </c>
      <c r="C819" s="1">
        <v>0</v>
      </c>
    </row>
    <row r="820" spans="2:3" hidden="1">
      <c r="B820" s="1" t="s">
        <v>94</v>
      </c>
      <c r="C820" s="1">
        <v>35</v>
      </c>
    </row>
    <row r="821" spans="2:3" hidden="1">
      <c r="B821" s="1" t="s">
        <v>95</v>
      </c>
      <c r="C821" s="1">
        <v>20</v>
      </c>
    </row>
    <row r="822" spans="2:3" hidden="1">
      <c r="B822" s="1" t="s">
        <v>96</v>
      </c>
      <c r="C822" s="1">
        <v>0.5</v>
      </c>
    </row>
    <row r="823" spans="2:3" hidden="1">
      <c r="B823" s="1" t="s">
        <v>97</v>
      </c>
      <c r="C823" s="1">
        <v>10</v>
      </c>
    </row>
    <row r="824" spans="2:3" hidden="1">
      <c r="B824" s="1" t="s">
        <v>98</v>
      </c>
      <c r="C824" s="1">
        <v>0</v>
      </c>
    </row>
    <row r="825" spans="2:3" hidden="1">
      <c r="B825" s="1" t="s">
        <v>99</v>
      </c>
      <c r="C825" s="1">
        <v>0</v>
      </c>
    </row>
    <row r="826" spans="2:3" hidden="1">
      <c r="B826" s="1" t="s">
        <v>100</v>
      </c>
      <c r="C826" s="1">
        <v>0.53</v>
      </c>
    </row>
    <row r="827" spans="2:3" hidden="1">
      <c r="B827" s="1" t="s">
        <v>101</v>
      </c>
      <c r="C827" s="1">
        <v>0</v>
      </c>
    </row>
    <row r="828" spans="2:3" hidden="1">
      <c r="B828" s="1" t="s">
        <v>102</v>
      </c>
      <c r="C828" s="1">
        <v>0.49</v>
      </c>
    </row>
    <row r="829" spans="2:3" hidden="1">
      <c r="B829" s="1" t="s">
        <v>103</v>
      </c>
      <c r="C829" s="1">
        <v>0.4</v>
      </c>
    </row>
    <row r="830" spans="2:3" hidden="1">
      <c r="B830" s="1" t="s">
        <v>104</v>
      </c>
      <c r="C830" s="1">
        <v>15</v>
      </c>
    </row>
    <row r="831" spans="2:3" hidden="1">
      <c r="B831" s="1" t="s">
        <v>105</v>
      </c>
      <c r="C831" s="1">
        <v>0.55000000000000004</v>
      </c>
    </row>
    <row r="832" spans="2:3" hidden="1">
      <c r="B832" s="1" t="s">
        <v>106</v>
      </c>
      <c r="C832" s="1">
        <v>0</v>
      </c>
    </row>
    <row r="833" spans="2:3" hidden="1">
      <c r="B833" s="1" t="s">
        <v>107</v>
      </c>
      <c r="C833" s="1">
        <v>0</v>
      </c>
    </row>
    <row r="834" spans="2:3" hidden="1">
      <c r="B834" s="1" t="s">
        <v>108</v>
      </c>
      <c r="C834" s="1">
        <v>0</v>
      </c>
    </row>
    <row r="835" spans="2:3" hidden="1">
      <c r="B835" s="1" t="s">
        <v>109</v>
      </c>
      <c r="C835" s="1">
        <v>0</v>
      </c>
    </row>
    <row r="836" spans="2:3" hidden="1">
      <c r="B836" s="1" t="s">
        <v>110</v>
      </c>
      <c r="C836" s="1">
        <v>1</v>
      </c>
    </row>
    <row r="837" spans="2:3" hidden="1">
      <c r="B837" s="1" t="s">
        <v>111</v>
      </c>
      <c r="C837" s="1">
        <v>0</v>
      </c>
    </row>
    <row r="838" spans="2:3" hidden="1">
      <c r="B838" s="1" t="s">
        <v>112</v>
      </c>
      <c r="C838" s="1">
        <v>0</v>
      </c>
    </row>
    <row r="839" spans="2:3" hidden="1">
      <c r="B839" s="1" t="s">
        <v>113</v>
      </c>
      <c r="C839" s="1">
        <v>0</v>
      </c>
    </row>
    <row r="840" spans="2:3" hidden="1">
      <c r="B840" s="1" t="s">
        <v>114</v>
      </c>
      <c r="C840" s="1">
        <v>0</v>
      </c>
    </row>
    <row r="841" spans="2:3" hidden="1">
      <c r="B841" s="1" t="s">
        <v>115</v>
      </c>
      <c r="C841" s="1">
        <v>0</v>
      </c>
    </row>
    <row r="842" spans="2:3" hidden="1">
      <c r="B842" s="1" t="s">
        <v>116</v>
      </c>
      <c r="C842" s="1">
        <v>0</v>
      </c>
    </row>
    <row r="843" spans="2:3" hidden="1">
      <c r="B843" s="1" t="s">
        <v>117</v>
      </c>
      <c r="C843" s="1">
        <v>0</v>
      </c>
    </row>
    <row r="844" spans="2:3" hidden="1">
      <c r="B844" s="1" t="s">
        <v>118</v>
      </c>
      <c r="C844" s="1">
        <v>19.38</v>
      </c>
    </row>
    <row r="845" spans="2:3" hidden="1">
      <c r="B845" s="1" t="s">
        <v>119</v>
      </c>
      <c r="C845" s="1">
        <v>0</v>
      </c>
    </row>
    <row r="846" spans="2:3" hidden="1">
      <c r="B846" s="1" t="s">
        <v>120</v>
      </c>
      <c r="C846" s="1">
        <v>0</v>
      </c>
    </row>
    <row r="847" spans="2:3" hidden="1">
      <c r="B847" s="1" t="s">
        <v>121</v>
      </c>
      <c r="C847" s="1">
        <v>0</v>
      </c>
    </row>
    <row r="848" spans="2:3" hidden="1">
      <c r="B848" s="1" t="s">
        <v>122</v>
      </c>
      <c r="C848" s="1">
        <v>0</v>
      </c>
    </row>
    <row r="849" spans="2:3" hidden="1">
      <c r="B849" s="1" t="s">
        <v>123</v>
      </c>
      <c r="C849" s="1">
        <v>0</v>
      </c>
    </row>
    <row r="850" spans="2:3" hidden="1">
      <c r="B850" s="1" t="s">
        <v>124</v>
      </c>
      <c r="C850" s="1">
        <v>0</v>
      </c>
    </row>
    <row r="851" spans="2:3" hidden="1">
      <c r="B851" s="1" t="s">
        <v>125</v>
      </c>
      <c r="C851" s="1">
        <v>0</v>
      </c>
    </row>
    <row r="852" spans="2:3" hidden="1">
      <c r="B852" s="1" t="s">
        <v>126</v>
      </c>
      <c r="C852" s="1">
        <v>0</v>
      </c>
    </row>
    <row r="853" spans="2:3" hidden="1">
      <c r="B853" s="1" t="s">
        <v>127</v>
      </c>
      <c r="C853" s="1">
        <v>0</v>
      </c>
    </row>
    <row r="854" spans="2:3" hidden="1">
      <c r="B854" s="1" t="s">
        <v>128</v>
      </c>
      <c r="C854" s="1">
        <v>0</v>
      </c>
    </row>
    <row r="855" spans="2:3" hidden="1">
      <c r="B855" s="1" t="s">
        <v>129</v>
      </c>
      <c r="C855" s="1">
        <v>0</v>
      </c>
    </row>
    <row r="856" spans="2:3" hidden="1">
      <c r="B856" s="1" t="s">
        <v>130</v>
      </c>
      <c r="C856" s="1">
        <v>0</v>
      </c>
    </row>
    <row r="857" spans="2:3" hidden="1">
      <c r="B857" s="1" t="s">
        <v>131</v>
      </c>
      <c r="C857" s="1">
        <v>0</v>
      </c>
    </row>
    <row r="858" spans="2:3" hidden="1">
      <c r="B858" s="1" t="s">
        <v>132</v>
      </c>
      <c r="C858" s="1">
        <v>0</v>
      </c>
    </row>
    <row r="859" spans="2:3" hidden="1">
      <c r="B859" s="1" t="s">
        <v>133</v>
      </c>
      <c r="C859" s="1">
        <v>0.5</v>
      </c>
    </row>
    <row r="860" spans="2:3" hidden="1">
      <c r="B860" s="1" t="s">
        <v>134</v>
      </c>
      <c r="C860" s="1">
        <v>13.5</v>
      </c>
    </row>
    <row r="861" spans="2:3" hidden="1">
      <c r="B861" s="1" t="s">
        <v>135</v>
      </c>
      <c r="C861" s="1">
        <v>18</v>
      </c>
    </row>
    <row r="862" spans="2:3" hidden="1">
      <c r="B862" s="1" t="s">
        <v>136</v>
      </c>
      <c r="C862" s="1">
        <v>0</v>
      </c>
    </row>
    <row r="863" spans="2:3" hidden="1">
      <c r="B863" s="1" t="s">
        <v>137</v>
      </c>
      <c r="C863" s="1">
        <v>0</v>
      </c>
    </row>
    <row r="864" spans="2:3" hidden="1">
      <c r="B864" s="1" t="s">
        <v>138</v>
      </c>
      <c r="C864" s="1">
        <v>0</v>
      </c>
    </row>
    <row r="865" spans="2:3" hidden="1">
      <c r="B865" s="1" t="s">
        <v>139</v>
      </c>
      <c r="C865" s="1">
        <v>3500</v>
      </c>
    </row>
    <row r="866" spans="2:3" hidden="1">
      <c r="B866" s="1" t="s">
        <v>140</v>
      </c>
      <c r="C866" s="1">
        <v>4</v>
      </c>
    </row>
    <row r="867" spans="2:3" hidden="1">
      <c r="B867" s="1" t="s">
        <v>141</v>
      </c>
      <c r="C867" s="1">
        <v>0</v>
      </c>
    </row>
    <row r="868" spans="2:3" hidden="1">
      <c r="B868" s="1" t="s">
        <v>142</v>
      </c>
      <c r="C868" s="1">
        <v>0</v>
      </c>
    </row>
    <row r="869" spans="2:3" hidden="1">
      <c r="B869" s="1" t="s">
        <v>143</v>
      </c>
      <c r="C869" s="1">
        <v>0</v>
      </c>
    </row>
    <row r="870" spans="2:3" hidden="1">
      <c r="B870" s="1" t="s">
        <v>144</v>
      </c>
      <c r="C870" s="1">
        <v>6</v>
      </c>
    </row>
    <row r="871" spans="2:3" hidden="1">
      <c r="B871" s="1" t="s">
        <v>145</v>
      </c>
      <c r="C871" s="1">
        <v>3.65</v>
      </c>
    </row>
    <row r="872" spans="2:3" hidden="1">
      <c r="B872" s="1" t="s">
        <v>146</v>
      </c>
      <c r="C872" s="1">
        <v>3.38</v>
      </c>
    </row>
    <row r="873" spans="2:3" hidden="1">
      <c r="B873" s="1" t="s">
        <v>147</v>
      </c>
      <c r="C873" s="1">
        <v>1</v>
      </c>
    </row>
    <row r="874" spans="2:3" hidden="1">
      <c r="B874" s="1" t="s">
        <v>148</v>
      </c>
      <c r="C874" s="1">
        <v>0</v>
      </c>
    </row>
    <row r="875" spans="2:3" hidden="1">
      <c r="B875" s="1" t="s">
        <v>149</v>
      </c>
      <c r="C875" s="1">
        <v>13</v>
      </c>
    </row>
    <row r="876" spans="2:3" hidden="1">
      <c r="B876" s="1" t="s">
        <v>150</v>
      </c>
      <c r="C876" s="1">
        <v>0</v>
      </c>
    </row>
    <row r="877" spans="2:3" hidden="1">
      <c r="B877" s="1" t="s">
        <v>151</v>
      </c>
      <c r="C877" s="1">
        <v>0</v>
      </c>
    </row>
    <row r="878" spans="2:3" hidden="1">
      <c r="B878" s="1" t="s">
        <v>152</v>
      </c>
      <c r="C878" s="1">
        <v>0</v>
      </c>
    </row>
    <row r="879" spans="2:3" hidden="1">
      <c r="B879" s="1" t="s">
        <v>153</v>
      </c>
      <c r="C879" s="1">
        <v>0</v>
      </c>
    </row>
    <row r="880" spans="2:3" hidden="1">
      <c r="B880" s="1" t="s">
        <v>154</v>
      </c>
      <c r="C880" s="1">
        <v>0</v>
      </c>
    </row>
    <row r="881" spans="2:3" hidden="1">
      <c r="B881" s="1" t="s">
        <v>155</v>
      </c>
      <c r="C881" s="1">
        <v>0</v>
      </c>
    </row>
    <row r="882" spans="2:3" hidden="1">
      <c r="B882" s="1" t="s">
        <v>156</v>
      </c>
      <c r="C882" s="1">
        <v>5</v>
      </c>
    </row>
    <row r="883" spans="2:3" hidden="1">
      <c r="B883" s="1" t="s">
        <v>157</v>
      </c>
      <c r="C883" s="1">
        <v>0</v>
      </c>
    </row>
    <row r="884" spans="2:3" hidden="1">
      <c r="B884" s="1" t="s">
        <v>158</v>
      </c>
      <c r="C884" s="1">
        <v>0</v>
      </c>
    </row>
    <row r="885" spans="2:3" hidden="1">
      <c r="B885" s="1" t="s">
        <v>159</v>
      </c>
      <c r="C885" s="1">
        <v>0</v>
      </c>
    </row>
    <row r="886" spans="2:3" hidden="1">
      <c r="B886" s="1" t="s">
        <v>160</v>
      </c>
      <c r="C886" s="1">
        <v>6800</v>
      </c>
    </row>
    <row r="887" spans="2:3" hidden="1">
      <c r="B887" s="1" t="s">
        <v>161</v>
      </c>
      <c r="C887" s="1">
        <v>0</v>
      </c>
    </row>
    <row r="888" spans="2:3" hidden="1">
      <c r="B888" s="1" t="s">
        <v>162</v>
      </c>
      <c r="C888" s="1">
        <v>0</v>
      </c>
    </row>
    <row r="889" spans="2:3" hidden="1">
      <c r="B889" s="1" t="s">
        <v>163</v>
      </c>
      <c r="C889" s="1">
        <v>8500</v>
      </c>
    </row>
    <row r="890" spans="2:3" hidden="1">
      <c r="B890" s="1" t="s">
        <v>164</v>
      </c>
      <c r="C890" s="1">
        <v>5</v>
      </c>
    </row>
    <row r="891" spans="2:3" hidden="1">
      <c r="B891" s="1" t="s">
        <v>165</v>
      </c>
      <c r="C891" s="1">
        <v>15000</v>
      </c>
    </row>
    <row r="892" spans="2:3" hidden="1">
      <c r="B892" s="1" t="s">
        <v>166</v>
      </c>
      <c r="C892" s="1">
        <v>5</v>
      </c>
    </row>
    <row r="893" spans="2:3" hidden="1">
      <c r="B893" s="1" t="s">
        <v>167</v>
      </c>
      <c r="C893" s="1">
        <v>0</v>
      </c>
    </row>
    <row r="894" spans="2:3" hidden="1">
      <c r="B894" s="1" t="s">
        <v>168</v>
      </c>
      <c r="C894" s="1">
        <v>0</v>
      </c>
    </row>
    <row r="895" spans="2:3" hidden="1">
      <c r="B895" s="1" t="s">
        <v>169</v>
      </c>
      <c r="C895" s="1">
        <v>0</v>
      </c>
    </row>
    <row r="896" spans="2:3" hidden="1">
      <c r="B896" s="1" t="s">
        <v>170</v>
      </c>
      <c r="C896" s="1">
        <v>0</v>
      </c>
    </row>
    <row r="897" spans="2:3" hidden="1">
      <c r="B897" s="1" t="s">
        <v>171</v>
      </c>
      <c r="C897" s="1">
        <v>0</v>
      </c>
    </row>
    <row r="898" spans="2:3" hidden="1">
      <c r="B898" s="1" t="s">
        <v>172</v>
      </c>
      <c r="C898" s="1">
        <v>0</v>
      </c>
    </row>
    <row r="899" spans="2:3" hidden="1">
      <c r="B899" s="1" t="s">
        <v>173</v>
      </c>
      <c r="C899" s="1">
        <v>0</v>
      </c>
    </row>
    <row r="900" spans="2:3" hidden="1">
      <c r="B900" s="1" t="s">
        <v>174</v>
      </c>
      <c r="C900" s="1">
        <v>0</v>
      </c>
    </row>
    <row r="901" spans="2:3" hidden="1">
      <c r="B901" s="1" t="s">
        <v>175</v>
      </c>
      <c r="C901" s="1">
        <v>0</v>
      </c>
    </row>
    <row r="902" spans="2:3" hidden="1">
      <c r="B902" s="1" t="s">
        <v>176</v>
      </c>
      <c r="C902" s="1">
        <v>0</v>
      </c>
    </row>
    <row r="903" spans="2:3" hidden="1">
      <c r="B903" s="1" t="s">
        <v>177</v>
      </c>
      <c r="C903" s="1">
        <v>0</v>
      </c>
    </row>
    <row r="904" spans="2:3" hidden="1">
      <c r="B904" s="1" t="s">
        <v>178</v>
      </c>
      <c r="C904" s="1">
        <v>6</v>
      </c>
    </row>
    <row r="905" spans="2:3" hidden="1">
      <c r="B905" s="1" t="s">
        <v>179</v>
      </c>
      <c r="C905" s="1">
        <v>0</v>
      </c>
    </row>
    <row r="906" spans="2:3" hidden="1">
      <c r="B906" s="1" t="s">
        <v>180</v>
      </c>
      <c r="C906" s="1">
        <v>0</v>
      </c>
    </row>
    <row r="907" spans="2:3" hidden="1">
      <c r="B907" s="1" t="s">
        <v>181</v>
      </c>
      <c r="C907" s="1">
        <v>0</v>
      </c>
    </row>
    <row r="908" spans="2:3" hidden="1">
      <c r="B908" s="1" t="s">
        <v>182</v>
      </c>
      <c r="C908" s="1">
        <v>0</v>
      </c>
    </row>
    <row r="909" spans="2:3" hidden="1">
      <c r="B909" s="1" t="s">
        <v>183</v>
      </c>
      <c r="C909" s="1">
        <v>0</v>
      </c>
    </row>
    <row r="910" spans="2:3" hidden="1">
      <c r="B910" s="1" t="s">
        <v>184</v>
      </c>
      <c r="C910" s="1">
        <v>0</v>
      </c>
    </row>
    <row r="911" spans="2:3" hidden="1">
      <c r="B911" s="1" t="s">
        <v>185</v>
      </c>
      <c r="C911" s="1">
        <v>0</v>
      </c>
    </row>
    <row r="912" spans="2:3" hidden="1">
      <c r="B912" s="1" t="s">
        <v>186</v>
      </c>
      <c r="C912" s="1">
        <v>0</v>
      </c>
    </row>
    <row r="913" spans="2:3" hidden="1">
      <c r="B913" s="1" t="s">
        <v>187</v>
      </c>
      <c r="C913" s="1">
        <v>0</v>
      </c>
    </row>
    <row r="914" spans="2:3" hidden="1">
      <c r="B914" s="1" t="s">
        <v>188</v>
      </c>
      <c r="C914" s="1">
        <v>0</v>
      </c>
    </row>
    <row r="915" spans="2:3" hidden="1">
      <c r="B915" s="1" t="s">
        <v>189</v>
      </c>
      <c r="C915" s="1">
        <v>0</v>
      </c>
    </row>
    <row r="916" spans="2:3" hidden="1">
      <c r="B916" s="1" t="s">
        <v>190</v>
      </c>
      <c r="C916" s="1">
        <v>0</v>
      </c>
    </row>
    <row r="917" spans="2:3" hidden="1">
      <c r="B917" s="1" t="s">
        <v>191</v>
      </c>
      <c r="C917" s="1">
        <v>2</v>
      </c>
    </row>
    <row r="918" spans="2:3" hidden="1">
      <c r="B918" s="1" t="s">
        <v>192</v>
      </c>
      <c r="C918" s="1">
        <v>0</v>
      </c>
    </row>
    <row r="919" spans="2:3" hidden="1">
      <c r="B919" s="1" t="s">
        <v>193</v>
      </c>
      <c r="C919" s="1">
        <v>0</v>
      </c>
    </row>
    <row r="920" spans="2:3" hidden="1">
      <c r="B920" s="1" t="s">
        <v>194</v>
      </c>
      <c r="C920" s="1">
        <v>0</v>
      </c>
    </row>
    <row r="921" spans="2:3" hidden="1">
      <c r="B921" s="1" t="s">
        <v>195</v>
      </c>
      <c r="C921" s="1">
        <v>0</v>
      </c>
    </row>
    <row r="922" spans="2:3" hidden="1">
      <c r="B922" s="1" t="s">
        <v>196</v>
      </c>
      <c r="C922" s="1">
        <v>0</v>
      </c>
    </row>
    <row r="923" spans="2:3" hidden="1">
      <c r="B923" s="1" t="s">
        <v>197</v>
      </c>
      <c r="C923" s="1">
        <v>0</v>
      </c>
    </row>
    <row r="924" spans="2:3" hidden="1">
      <c r="B924" s="1" t="s">
        <v>198</v>
      </c>
      <c r="C924" s="1">
        <v>0</v>
      </c>
    </row>
    <row r="925" spans="2:3" hidden="1">
      <c r="B925" s="1" t="s">
        <v>199</v>
      </c>
      <c r="C925" s="1" t="s">
        <v>200</v>
      </c>
    </row>
    <row r="926" spans="2:3" hidden="1">
      <c r="B926" s="1" t="s">
        <v>201</v>
      </c>
      <c r="C926" s="1" t="s">
        <v>202</v>
      </c>
    </row>
    <row r="927" spans="2:3" hidden="1">
      <c r="B927" s="1" t="s">
        <v>203</v>
      </c>
      <c r="C927" s="1" t="s">
        <v>204</v>
      </c>
    </row>
    <row r="928" spans="2:3" hidden="1">
      <c r="B928" s="1" t="s">
        <v>205</v>
      </c>
      <c r="C928" s="1" t="s">
        <v>206</v>
      </c>
    </row>
    <row r="929" spans="2:3" hidden="1">
      <c r="B929" s="1" t="s">
        <v>207</v>
      </c>
      <c r="C929" s="1" t="s">
        <v>208</v>
      </c>
    </row>
    <row r="930" spans="2:3" hidden="1">
      <c r="B930" s="1" t="s">
        <v>209</v>
      </c>
      <c r="C930" s="1" t="s">
        <v>210</v>
      </c>
    </row>
    <row r="931" spans="2:3" hidden="1">
      <c r="B931" s="1" t="s">
        <v>211</v>
      </c>
      <c r="C931" s="1" t="s">
        <v>212</v>
      </c>
    </row>
    <row r="932" spans="2:3" hidden="1">
      <c r="B932" s="1" t="s">
        <v>213</v>
      </c>
      <c r="C932" s="1" t="s">
        <v>214</v>
      </c>
    </row>
    <row r="933" spans="2:3" hidden="1">
      <c r="B933" s="1" t="s">
        <v>215</v>
      </c>
      <c r="C933" s="1" t="s">
        <v>216</v>
      </c>
    </row>
    <row r="934" spans="2:3" hidden="1">
      <c r="B934" s="1" t="s">
        <v>217</v>
      </c>
      <c r="C934" s="1" t="s">
        <v>218</v>
      </c>
    </row>
    <row r="935" spans="2:3" hidden="1">
      <c r="B935" s="1" t="s">
        <v>219</v>
      </c>
      <c r="C935" s="1" t="s">
        <v>220</v>
      </c>
    </row>
    <row r="936" spans="2:3" hidden="1">
      <c r="B936" s="1" t="s">
        <v>221</v>
      </c>
      <c r="C936" s="1" t="s">
        <v>222</v>
      </c>
    </row>
    <row r="937" spans="2:3" hidden="1">
      <c r="B937" s="1" t="s">
        <v>223</v>
      </c>
      <c r="C937" s="1" t="s">
        <v>220</v>
      </c>
    </row>
    <row r="938" spans="2:3" hidden="1">
      <c r="B938" s="1" t="s">
        <v>224</v>
      </c>
      <c r="C938" s="1" t="s">
        <v>212</v>
      </c>
    </row>
    <row r="939" spans="2:3" hidden="1">
      <c r="B939" s="1" t="s">
        <v>225</v>
      </c>
      <c r="C939" s="1" t="s">
        <v>226</v>
      </c>
    </row>
    <row r="940" spans="2:3" hidden="1">
      <c r="B940" s="1" t="s">
        <v>227</v>
      </c>
      <c r="C940" s="1" t="s">
        <v>220</v>
      </c>
    </row>
    <row r="941" spans="2:3" hidden="1">
      <c r="B941" s="1" t="s">
        <v>228</v>
      </c>
      <c r="C941" s="1" t="s">
        <v>220</v>
      </c>
    </row>
    <row r="942" spans="2:3" hidden="1">
      <c r="B942" s="1" t="s">
        <v>229</v>
      </c>
      <c r="C942" s="1" t="s">
        <v>208</v>
      </c>
    </row>
    <row r="943" spans="2:3" hidden="1">
      <c r="B943" s="1" t="s">
        <v>230</v>
      </c>
      <c r="C943" s="1" t="s">
        <v>231</v>
      </c>
    </row>
    <row r="944" spans="2:3" hidden="1">
      <c r="B944" s="1" t="s">
        <v>232</v>
      </c>
      <c r="C944" s="1" t="s">
        <v>204</v>
      </c>
    </row>
    <row r="945" spans="2:3" hidden="1">
      <c r="B945" s="1" t="s">
        <v>233</v>
      </c>
      <c r="C945" s="1" t="s">
        <v>231</v>
      </c>
    </row>
    <row r="946" spans="2:3" hidden="1">
      <c r="B946" s="1" t="s">
        <v>234</v>
      </c>
      <c r="C946" s="1" t="s">
        <v>235</v>
      </c>
    </row>
    <row r="947" spans="2:3" hidden="1">
      <c r="B947" s="1" t="s">
        <v>236</v>
      </c>
      <c r="C947" s="1" t="s">
        <v>237</v>
      </c>
    </row>
    <row r="948" spans="2:3" hidden="1">
      <c r="B948" s="1" t="s">
        <v>238</v>
      </c>
      <c r="C948" s="1" t="s">
        <v>239</v>
      </c>
    </row>
    <row r="949" spans="2:3" hidden="1">
      <c r="B949" s="1" t="s">
        <v>240</v>
      </c>
      <c r="C949" s="1" t="s">
        <v>208</v>
      </c>
    </row>
    <row r="950" spans="2:3" hidden="1">
      <c r="B950" s="1" t="s">
        <v>241</v>
      </c>
      <c r="C950" s="1" t="s">
        <v>208</v>
      </c>
    </row>
    <row r="951" spans="2:3" hidden="1">
      <c r="B951" s="1" t="s">
        <v>242</v>
      </c>
      <c r="C951" s="1" t="s">
        <v>243</v>
      </c>
    </row>
    <row r="952" spans="2:3" hidden="1">
      <c r="B952" s="1" t="s">
        <v>244</v>
      </c>
      <c r="C952" s="1" t="s">
        <v>245</v>
      </c>
    </row>
    <row r="953" spans="2:3" hidden="1">
      <c r="B953" s="1" t="s">
        <v>246</v>
      </c>
      <c r="C953" s="1">
        <v>0</v>
      </c>
    </row>
    <row r="954" spans="2:3" hidden="1">
      <c r="B954" s="1" t="s">
        <v>247</v>
      </c>
      <c r="C954" s="1">
        <v>0</v>
      </c>
    </row>
    <row r="955" spans="2:3" hidden="1">
      <c r="B955" s="1" t="s">
        <v>248</v>
      </c>
      <c r="C955" s="1">
        <v>0</v>
      </c>
    </row>
    <row r="956" spans="2:3" hidden="1">
      <c r="B956" s="1" t="s">
        <v>249</v>
      </c>
      <c r="C956" s="1">
        <v>0</v>
      </c>
    </row>
    <row r="957" spans="2:3" hidden="1">
      <c r="B957" s="1" t="s">
        <v>250</v>
      </c>
      <c r="C957" s="1">
        <v>0</v>
      </c>
    </row>
    <row r="958" spans="2:3" hidden="1">
      <c r="B958" s="1" t="s">
        <v>251</v>
      </c>
      <c r="C958" s="1">
        <v>0</v>
      </c>
    </row>
    <row r="959" spans="2:3" hidden="1">
      <c r="B959" s="1" t="s">
        <v>252</v>
      </c>
      <c r="C959" s="1">
        <v>0</v>
      </c>
    </row>
    <row r="960" spans="2:3" hidden="1">
      <c r="B960" s="1" t="s">
        <v>253</v>
      </c>
      <c r="C960" s="1">
        <v>0</v>
      </c>
    </row>
    <row r="961" spans="2:3" hidden="1">
      <c r="B961" s="1" t="s">
        <v>254</v>
      </c>
      <c r="C961" s="1">
        <v>0</v>
      </c>
    </row>
    <row r="962" spans="2:3" hidden="1">
      <c r="B962" s="1" t="s">
        <v>255</v>
      </c>
      <c r="C962" s="1">
        <v>0</v>
      </c>
    </row>
    <row r="963" spans="2:3" hidden="1">
      <c r="B963" s="1" t="s">
        <v>256</v>
      </c>
      <c r="C963" s="1">
        <v>0</v>
      </c>
    </row>
    <row r="964" spans="2:3" hidden="1">
      <c r="B964" s="1" t="s">
        <v>257</v>
      </c>
      <c r="C964" s="1">
        <v>0</v>
      </c>
    </row>
    <row r="965" spans="2:3" hidden="1">
      <c r="B965" s="1" t="s">
        <v>258</v>
      </c>
      <c r="C965" s="1">
        <v>0</v>
      </c>
    </row>
    <row r="966" spans="2:3" hidden="1">
      <c r="B966" s="1" t="s">
        <v>259</v>
      </c>
      <c r="C966" s="1">
        <v>0</v>
      </c>
    </row>
    <row r="967" spans="2:3" hidden="1">
      <c r="B967" s="1" t="s">
        <v>260</v>
      </c>
      <c r="C967" s="1" t="s">
        <v>261</v>
      </c>
    </row>
    <row r="968" spans="2:3" hidden="1">
      <c r="B968" s="1" t="s">
        <v>262</v>
      </c>
      <c r="C968" s="1">
        <v>0</v>
      </c>
    </row>
    <row r="969" spans="2:3" hidden="1">
      <c r="B969" s="1" t="s">
        <v>263</v>
      </c>
      <c r="C969" s="1">
        <v>0</v>
      </c>
    </row>
    <row r="970" spans="2:3" hidden="1">
      <c r="B970" s="1" t="s">
        <v>264</v>
      </c>
      <c r="C970" s="1">
        <v>0</v>
      </c>
    </row>
    <row r="971" spans="2:3" hidden="1">
      <c r="B971" s="1" t="s">
        <v>265</v>
      </c>
      <c r="C971" s="1">
        <v>0</v>
      </c>
    </row>
    <row r="972" spans="2:3" hidden="1">
      <c r="B972" s="1" t="s">
        <v>266</v>
      </c>
      <c r="C972" s="1" t="s">
        <v>267</v>
      </c>
    </row>
    <row r="973" spans="2:3" hidden="1">
      <c r="B973" s="1" t="s">
        <v>268</v>
      </c>
      <c r="C973" s="1">
        <v>0</v>
      </c>
    </row>
    <row r="974" spans="2:3" hidden="1">
      <c r="B974" s="1" t="s">
        <v>269</v>
      </c>
      <c r="C974" s="1">
        <v>0</v>
      </c>
    </row>
    <row r="975" spans="2:3" hidden="1">
      <c r="B975" s="1" t="s">
        <v>270</v>
      </c>
      <c r="C975" s="1">
        <v>0</v>
      </c>
    </row>
    <row r="976" spans="2:3" hidden="1">
      <c r="B976" s="1" t="s">
        <v>271</v>
      </c>
      <c r="C976" s="1">
        <v>0</v>
      </c>
    </row>
    <row r="977" spans="2:3" hidden="1">
      <c r="B977" s="1" t="s">
        <v>272</v>
      </c>
      <c r="C977" s="1">
        <v>0</v>
      </c>
    </row>
    <row r="978" spans="2:3" hidden="1">
      <c r="B978" s="1" t="s">
        <v>273</v>
      </c>
      <c r="C978" s="1">
        <v>0</v>
      </c>
    </row>
    <row r="979" spans="2:3" hidden="1">
      <c r="B979" s="1" t="s">
        <v>274</v>
      </c>
      <c r="C979" s="1">
        <v>0</v>
      </c>
    </row>
    <row r="980" spans="2:3" hidden="1">
      <c r="B980" s="1" t="s">
        <v>275</v>
      </c>
      <c r="C980" s="1">
        <v>0</v>
      </c>
    </row>
    <row r="981" spans="2:3" hidden="1">
      <c r="B981" s="1" t="s">
        <v>276</v>
      </c>
      <c r="C981" s="1">
        <v>0</v>
      </c>
    </row>
    <row r="982" spans="2:3" hidden="1">
      <c r="B982" s="1" t="s">
        <v>277</v>
      </c>
      <c r="C982" s="1">
        <v>0</v>
      </c>
    </row>
    <row r="983" spans="2:3" hidden="1">
      <c r="B983" s="1" t="s">
        <v>278</v>
      </c>
      <c r="C983" s="1">
        <v>0</v>
      </c>
    </row>
    <row r="984" spans="2:3" hidden="1">
      <c r="B984" s="1" t="s">
        <v>279</v>
      </c>
      <c r="C984" s="1">
        <v>0</v>
      </c>
    </row>
    <row r="985" spans="2:3" hidden="1">
      <c r="B985" s="1" t="s">
        <v>280</v>
      </c>
      <c r="C985" s="1">
        <v>0</v>
      </c>
    </row>
    <row r="986" spans="2:3" hidden="1">
      <c r="B986" s="1" t="s">
        <v>281</v>
      </c>
      <c r="C986" s="1">
        <v>0</v>
      </c>
    </row>
    <row r="987" spans="2:3" hidden="1">
      <c r="B987" s="1" t="s">
        <v>282</v>
      </c>
      <c r="C987" s="1">
        <v>0</v>
      </c>
    </row>
    <row r="988" spans="2:3" hidden="1">
      <c r="B988" s="1" t="s">
        <v>283</v>
      </c>
      <c r="C988" s="1">
        <v>0</v>
      </c>
    </row>
    <row r="989" spans="2:3" hidden="1">
      <c r="B989" s="1" t="s">
        <v>284</v>
      </c>
      <c r="C989" s="1" t="s">
        <v>261</v>
      </c>
    </row>
    <row r="990" spans="2:3" hidden="1">
      <c r="B990" s="1" t="s">
        <v>285</v>
      </c>
      <c r="C990" s="1" t="s">
        <v>267</v>
      </c>
    </row>
    <row r="991" spans="2:3" hidden="1">
      <c r="B991" s="1" t="s">
        <v>286</v>
      </c>
      <c r="C991" s="1">
        <v>0</v>
      </c>
    </row>
    <row r="992" spans="2:3" hidden="1">
      <c r="B992" s="1" t="s">
        <v>287</v>
      </c>
      <c r="C992" s="1">
        <v>0</v>
      </c>
    </row>
    <row r="993" spans="2:3" hidden="1">
      <c r="B993" s="1" t="s">
        <v>288</v>
      </c>
      <c r="C993" s="1">
        <v>0</v>
      </c>
    </row>
    <row r="994" spans="2:3" hidden="1">
      <c r="B994" s="1" t="s">
        <v>289</v>
      </c>
      <c r="C994" s="1">
        <v>0</v>
      </c>
    </row>
    <row r="995" spans="2:3" hidden="1">
      <c r="B995" s="1" t="s">
        <v>290</v>
      </c>
      <c r="C995" s="1">
        <v>0</v>
      </c>
    </row>
    <row r="996" spans="2:3" hidden="1">
      <c r="B996" s="1" t="s">
        <v>291</v>
      </c>
      <c r="C996" s="1">
        <v>0</v>
      </c>
    </row>
    <row r="997" spans="2:3" hidden="1">
      <c r="B997" s="1" t="s">
        <v>292</v>
      </c>
      <c r="C997" s="1">
        <v>0</v>
      </c>
    </row>
    <row r="998" spans="2:3" hidden="1">
      <c r="B998" s="1" t="s">
        <v>293</v>
      </c>
      <c r="C998" s="1">
        <v>0</v>
      </c>
    </row>
    <row r="999" spans="2:3" hidden="1">
      <c r="B999" s="1" t="s">
        <v>294</v>
      </c>
      <c r="C999" s="1">
        <v>0</v>
      </c>
    </row>
    <row r="1000" spans="2:3" hidden="1">
      <c r="B1000" s="1" t="s">
        <v>295</v>
      </c>
      <c r="C1000" s="1">
        <v>0</v>
      </c>
    </row>
    <row r="1001" spans="2:3" hidden="1">
      <c r="B1001" s="1" t="s">
        <v>296</v>
      </c>
      <c r="C1001" s="1">
        <v>0</v>
      </c>
    </row>
    <row r="1002" spans="2:3" hidden="1">
      <c r="B1002" s="1" t="s">
        <v>297</v>
      </c>
      <c r="C1002" s="1">
        <v>0</v>
      </c>
    </row>
    <row r="1003" spans="2:3" hidden="1">
      <c r="B1003" s="1" t="s">
        <v>298</v>
      </c>
      <c r="C1003" s="1">
        <v>0</v>
      </c>
    </row>
    <row r="1004" spans="2:3" hidden="1">
      <c r="B1004" s="1" t="s">
        <v>299</v>
      </c>
      <c r="C1004" s="1">
        <v>0</v>
      </c>
    </row>
    <row r="1005" spans="2:3" hidden="1">
      <c r="B1005" s="1" t="s">
        <v>300</v>
      </c>
      <c r="C1005" s="1">
        <v>1</v>
      </c>
    </row>
    <row r="1006" spans="2:3" hidden="1">
      <c r="B1006" s="1" t="s">
        <v>301</v>
      </c>
      <c r="C1006" s="1">
        <v>0</v>
      </c>
    </row>
    <row r="1007" spans="2:3" hidden="1">
      <c r="B1007" s="1" t="s">
        <v>302</v>
      </c>
      <c r="C1007" s="1">
        <v>0</v>
      </c>
    </row>
    <row r="1008" spans="2:3" hidden="1">
      <c r="B1008" s="1" t="s">
        <v>303</v>
      </c>
      <c r="C1008" s="1">
        <v>0</v>
      </c>
    </row>
    <row r="1009" spans="2:3" hidden="1">
      <c r="B1009" s="1" t="s">
        <v>304</v>
      </c>
      <c r="C1009" s="1">
        <v>0</v>
      </c>
    </row>
    <row r="1010" spans="2:3" hidden="1">
      <c r="B1010" s="1" t="s">
        <v>305</v>
      </c>
      <c r="C1010" s="1">
        <v>1</v>
      </c>
    </row>
    <row r="1011" spans="2:3" hidden="1">
      <c r="B1011" s="1" t="s">
        <v>306</v>
      </c>
      <c r="C1011" s="1">
        <v>0</v>
      </c>
    </row>
    <row r="1012" spans="2:3" hidden="1">
      <c r="B1012" s="1" t="s">
        <v>307</v>
      </c>
      <c r="C1012" s="1">
        <v>0</v>
      </c>
    </row>
    <row r="1013" spans="2:3" hidden="1">
      <c r="B1013" s="1" t="s">
        <v>308</v>
      </c>
      <c r="C1013" s="1">
        <v>0</v>
      </c>
    </row>
    <row r="1014" spans="2:3" hidden="1">
      <c r="B1014" s="1" t="s">
        <v>309</v>
      </c>
      <c r="C1014" s="1">
        <v>0</v>
      </c>
    </row>
    <row r="1015" spans="2:3" hidden="1">
      <c r="B1015" s="1" t="s">
        <v>310</v>
      </c>
      <c r="C1015" s="1">
        <v>0</v>
      </c>
    </row>
    <row r="1016" spans="2:3" hidden="1">
      <c r="B1016" s="1" t="s">
        <v>311</v>
      </c>
      <c r="C1016" s="1">
        <v>0</v>
      </c>
    </row>
    <row r="1017" spans="2:3" hidden="1">
      <c r="B1017" s="1" t="s">
        <v>312</v>
      </c>
      <c r="C1017" s="1">
        <v>0</v>
      </c>
    </row>
    <row r="1018" spans="2:3" hidden="1">
      <c r="B1018" s="1" t="s">
        <v>313</v>
      </c>
      <c r="C1018" s="1">
        <v>0</v>
      </c>
    </row>
    <row r="1019" spans="2:3" hidden="1">
      <c r="B1019" s="1" t="s">
        <v>314</v>
      </c>
      <c r="C1019" s="1">
        <v>0</v>
      </c>
    </row>
    <row r="1020" spans="2:3" hidden="1">
      <c r="B1020" s="1" t="s">
        <v>315</v>
      </c>
      <c r="C1020" s="1">
        <v>0</v>
      </c>
    </row>
    <row r="1021" spans="2:3" hidden="1">
      <c r="B1021" s="1" t="s">
        <v>316</v>
      </c>
      <c r="C1021" s="1">
        <v>0</v>
      </c>
    </row>
    <row r="1022" spans="2:3" hidden="1">
      <c r="B1022" s="1" t="s">
        <v>317</v>
      </c>
      <c r="C1022" s="1">
        <v>0</v>
      </c>
    </row>
    <row r="1023" spans="2:3" hidden="1">
      <c r="B1023" s="1" t="s">
        <v>318</v>
      </c>
      <c r="C1023" s="1">
        <v>0</v>
      </c>
    </row>
    <row r="1024" spans="2:3" hidden="1">
      <c r="B1024" s="1" t="s">
        <v>319</v>
      </c>
      <c r="C1024" s="1">
        <v>0</v>
      </c>
    </row>
    <row r="1025" spans="2:3" hidden="1">
      <c r="B1025" s="1" t="s">
        <v>320</v>
      </c>
      <c r="C1025" s="1">
        <v>0</v>
      </c>
    </row>
    <row r="1026" spans="2:3" hidden="1">
      <c r="B1026" s="1" t="s">
        <v>321</v>
      </c>
      <c r="C1026" s="1">
        <v>0</v>
      </c>
    </row>
    <row r="1027" spans="2:3" hidden="1">
      <c r="B1027" s="1" t="s">
        <v>322</v>
      </c>
      <c r="C1027" s="1">
        <v>0</v>
      </c>
    </row>
    <row r="1028" spans="2:3" hidden="1">
      <c r="B1028" s="1" t="s">
        <v>323</v>
      </c>
      <c r="C1028" s="1">
        <v>1</v>
      </c>
    </row>
    <row r="1029" spans="2:3" hidden="1">
      <c r="B1029" s="1" t="s">
        <v>324</v>
      </c>
      <c r="C1029" s="1">
        <v>0</v>
      </c>
    </row>
    <row r="1030" spans="2:3" hidden="1">
      <c r="B1030" s="1" t="s">
        <v>325</v>
      </c>
      <c r="C1030" s="1">
        <v>0</v>
      </c>
    </row>
    <row r="1031" spans="2:3" hidden="1">
      <c r="B1031" s="1" t="s">
        <v>326</v>
      </c>
      <c r="C1031" s="1">
        <v>0</v>
      </c>
    </row>
    <row r="1032" spans="2:3" hidden="1">
      <c r="B1032" s="1" t="s">
        <v>327</v>
      </c>
      <c r="C1032" s="1">
        <v>0</v>
      </c>
    </row>
    <row r="1033" spans="2:3" hidden="1">
      <c r="B1033" s="1" t="s">
        <v>328</v>
      </c>
      <c r="C1033" s="1">
        <v>0</v>
      </c>
    </row>
    <row r="1034" spans="2:3" hidden="1">
      <c r="B1034" s="1" t="s">
        <v>329</v>
      </c>
      <c r="C1034" s="1">
        <v>0</v>
      </c>
    </row>
    <row r="1035" spans="2:3" hidden="1">
      <c r="B1035" s="1" t="s">
        <v>330</v>
      </c>
      <c r="C1035" s="1">
        <v>0</v>
      </c>
    </row>
    <row r="1036" spans="2:3" hidden="1">
      <c r="B1036" s="1" t="s">
        <v>331</v>
      </c>
      <c r="C1036" s="1">
        <v>0</v>
      </c>
    </row>
    <row r="1037" spans="2:3" hidden="1">
      <c r="B1037" s="1" t="s">
        <v>332</v>
      </c>
      <c r="C1037" s="1">
        <v>0</v>
      </c>
    </row>
    <row r="1038" spans="2:3" hidden="1">
      <c r="B1038" s="1" t="s">
        <v>333</v>
      </c>
      <c r="C1038" s="1">
        <v>0</v>
      </c>
    </row>
    <row r="1039" spans="2:3" hidden="1">
      <c r="B1039" s="1" t="s">
        <v>334</v>
      </c>
      <c r="C1039" s="1">
        <v>0</v>
      </c>
    </row>
    <row r="1040" spans="2:3" hidden="1">
      <c r="B1040" s="1" t="s">
        <v>335</v>
      </c>
      <c r="C1040" s="1">
        <v>0</v>
      </c>
    </row>
    <row r="1041" spans="2:3" hidden="1">
      <c r="B1041" s="1" t="s">
        <v>336</v>
      </c>
      <c r="C1041" s="1">
        <v>0</v>
      </c>
    </row>
    <row r="1042" spans="2:3" hidden="1">
      <c r="B1042" s="1" t="s">
        <v>337</v>
      </c>
      <c r="C1042" s="1">
        <v>0</v>
      </c>
    </row>
    <row r="1043" spans="2:3" hidden="1">
      <c r="B1043" s="1" t="s">
        <v>338</v>
      </c>
      <c r="C1043" s="1">
        <v>0</v>
      </c>
    </row>
    <row r="1044" spans="2:3" hidden="1">
      <c r="B1044" s="1" t="s">
        <v>339</v>
      </c>
      <c r="C1044" s="1">
        <v>0</v>
      </c>
    </row>
    <row r="1045" spans="2:3" hidden="1">
      <c r="B1045" s="1" t="s">
        <v>340</v>
      </c>
      <c r="C1045" s="1">
        <v>0</v>
      </c>
    </row>
    <row r="1046" spans="2:3" hidden="1">
      <c r="B1046" s="1" t="s">
        <v>341</v>
      </c>
      <c r="C1046" s="1">
        <v>0</v>
      </c>
    </row>
    <row r="1047" spans="2:3" hidden="1">
      <c r="B1047" s="1" t="s">
        <v>342</v>
      </c>
      <c r="C1047" s="1">
        <v>0</v>
      </c>
    </row>
    <row r="1048" spans="2:3" hidden="1">
      <c r="B1048" s="1" t="s">
        <v>343</v>
      </c>
      <c r="C1048" s="1">
        <v>0</v>
      </c>
    </row>
    <row r="1049" spans="2:3" hidden="1">
      <c r="B1049" s="1" t="s">
        <v>344</v>
      </c>
      <c r="C1049" s="1">
        <v>0</v>
      </c>
    </row>
    <row r="1050" spans="2:3" hidden="1">
      <c r="B1050" s="1" t="s">
        <v>345</v>
      </c>
      <c r="C1050" s="1">
        <v>0</v>
      </c>
    </row>
    <row r="1051" spans="2:3" hidden="1">
      <c r="B1051" s="1" t="s">
        <v>346</v>
      </c>
      <c r="C1051" s="1">
        <v>0</v>
      </c>
    </row>
    <row r="1052" spans="2:3" hidden="1">
      <c r="B1052" s="1" t="s">
        <v>347</v>
      </c>
      <c r="C1052" s="1">
        <v>0</v>
      </c>
    </row>
    <row r="1053" spans="2:3" hidden="1">
      <c r="B1053" s="1" t="s">
        <v>348</v>
      </c>
      <c r="C1053" s="1">
        <v>0</v>
      </c>
    </row>
    <row r="1054" spans="2:3" hidden="1">
      <c r="B1054" s="1" t="s">
        <v>349</v>
      </c>
      <c r="C1054" s="1">
        <v>0</v>
      </c>
    </row>
    <row r="1055" spans="2:3" hidden="1">
      <c r="B1055" s="1" t="s">
        <v>350</v>
      </c>
      <c r="C1055" s="1">
        <v>0</v>
      </c>
    </row>
    <row r="1056" spans="2:3" hidden="1">
      <c r="B1056" s="1" t="s">
        <v>351</v>
      </c>
      <c r="C1056" s="1">
        <v>0</v>
      </c>
    </row>
    <row r="1057" spans="2:3" hidden="1">
      <c r="B1057" s="1" t="s">
        <v>352</v>
      </c>
      <c r="C1057" s="1">
        <v>0</v>
      </c>
    </row>
    <row r="1058" spans="2:3" hidden="1">
      <c r="B1058" s="1" t="s">
        <v>353</v>
      </c>
      <c r="C1058" s="1">
        <v>0</v>
      </c>
    </row>
    <row r="1059" spans="2:3" hidden="1">
      <c r="B1059" s="1" t="s">
        <v>354</v>
      </c>
      <c r="C1059" s="1">
        <v>0</v>
      </c>
    </row>
    <row r="1060" spans="2:3" hidden="1">
      <c r="B1060" s="1" t="s">
        <v>355</v>
      </c>
      <c r="C1060" s="1">
        <v>0</v>
      </c>
    </row>
    <row r="1061" spans="2:3" hidden="1">
      <c r="B1061" s="1" t="s">
        <v>356</v>
      </c>
      <c r="C1061" s="1">
        <v>0</v>
      </c>
    </row>
    <row r="1062" spans="2:3" hidden="1">
      <c r="B1062" s="1" t="s">
        <v>357</v>
      </c>
      <c r="C1062" s="1">
        <v>0</v>
      </c>
    </row>
    <row r="1063" spans="2:3" hidden="1">
      <c r="B1063" s="1" t="s">
        <v>358</v>
      </c>
      <c r="C1063" s="1">
        <v>0</v>
      </c>
    </row>
    <row r="1064" spans="2:3" hidden="1">
      <c r="B1064" s="1" t="s">
        <v>359</v>
      </c>
      <c r="C1064" s="1">
        <v>0</v>
      </c>
    </row>
    <row r="1065" spans="2:3" hidden="1">
      <c r="B1065" s="1" t="s">
        <v>360</v>
      </c>
      <c r="C1065" s="1">
        <v>0</v>
      </c>
    </row>
    <row r="1066" spans="2:3" hidden="1">
      <c r="B1066" s="1" t="s">
        <v>361</v>
      </c>
      <c r="C1066" s="1">
        <v>0</v>
      </c>
    </row>
    <row r="1067" spans="2:3" hidden="1">
      <c r="B1067" s="1" t="s">
        <v>362</v>
      </c>
      <c r="C1067" s="1">
        <v>0</v>
      </c>
    </row>
    <row r="1068" spans="2:3" hidden="1">
      <c r="B1068" s="1" t="s">
        <v>363</v>
      </c>
      <c r="C1068" s="1">
        <v>0</v>
      </c>
    </row>
    <row r="1069" spans="2:3" hidden="1">
      <c r="B1069" s="1" t="s">
        <v>364</v>
      </c>
      <c r="C1069" s="1">
        <v>0</v>
      </c>
    </row>
    <row r="1070" spans="2:3" hidden="1">
      <c r="B1070" s="1" t="s">
        <v>365</v>
      </c>
      <c r="C1070" s="1">
        <v>0</v>
      </c>
    </row>
  </sheetData>
  <sheetProtection sheet="1" objects="1" scenarios="1" selectLockedCells="1"/>
  <mergeCells count="4">
    <mergeCell ref="B58:C58"/>
    <mergeCell ref="B3:F3"/>
    <mergeCell ref="B56:C56"/>
    <mergeCell ref="B57:C57"/>
  </mergeCells>
  <conditionalFormatting sqref="B65 B70">
    <cfRule type="expression" dxfId="35" priority="39" stopIfTrue="1">
      <formula>MID($A60,1,4)="Rent"</formula>
    </cfRule>
  </conditionalFormatting>
  <conditionalFormatting sqref="B66">
    <cfRule type="expression" dxfId="34" priority="43" stopIfTrue="1">
      <formula>MID(#REF!,1,4)="Rent"</formula>
    </cfRule>
  </conditionalFormatting>
  <conditionalFormatting sqref="B67:B69">
    <cfRule type="expression" dxfId="33" priority="4" stopIfTrue="1">
      <formula>MID($A61,1,4)="Rent"</formula>
    </cfRule>
  </conditionalFormatting>
  <conditionalFormatting sqref="B71">
    <cfRule type="expression" dxfId="32" priority="1" stopIfTrue="1">
      <formula>MID($A71,1,4)="Rent"</formula>
    </cfRule>
  </conditionalFormatting>
  <conditionalFormatting sqref="C11:D11">
    <cfRule type="expression" dxfId="31" priority="7">
      <formula>$F$1="no"</formula>
    </cfRule>
  </conditionalFormatting>
  <conditionalFormatting sqref="C12:D21 C25:D26">
    <cfRule type="expression" dxfId="30" priority="35">
      <formula>$F$1="no"</formula>
    </cfRule>
  </conditionalFormatting>
  <conditionalFormatting sqref="C22:D22 D23 C24:D24">
    <cfRule type="expression" dxfId="29" priority="2">
      <formula>$F$1="No"</formula>
    </cfRule>
  </conditionalFormatting>
  <dataValidations count="1">
    <dataValidation type="list" allowBlank="1" showInputMessage="1" showErrorMessage="1" sqref="F1" xr:uid="{1200202B-2A09-4814-AD58-75DC30212FAC}">
      <formula1>"Yes,No"</formula1>
    </dataValidation>
  </dataValidations>
  <pageMargins left="0.7" right="0.7" top="0.75" bottom="0.75" header="0.3" footer="0.3"/>
  <pageSetup scale="85" orientation="portrait" r:id="rId1"/>
  <headerFooter>
    <oddFooter>&amp;C&amp;"Verdana,Regular"&amp;8The Crop Budget Generator is a product of the Food and Agricultural Policy Research Institute at the University of Missouri
www.fapri.missouri.edu</oddFooter>
  </headerFooter>
  <ignoredErrors>
    <ignoredError sqref="F21:F22 C51 F23:F24"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4B978-A89F-4293-B400-320A924FA916}">
  <dimension ref="A1:WVP1068"/>
  <sheetViews>
    <sheetView topLeftCell="A19" zoomScaleNormal="100" workbookViewId="0">
      <selection activeCell="F25" sqref="F25"/>
    </sheetView>
  </sheetViews>
  <sheetFormatPr defaultColWidth="0" defaultRowHeight="16.5" zeroHeight="1"/>
  <cols>
    <col min="1" max="1" width="2.625" style="1" customWidth="1"/>
    <col min="2" max="2" width="37.5" style="1" customWidth="1"/>
    <col min="3" max="4" width="9.625" style="1" customWidth="1"/>
    <col min="5" max="6" width="14.375" style="1" customWidth="1"/>
    <col min="7" max="7" width="11.75" style="1" customWidth="1"/>
    <col min="8" max="8" width="11.875" style="1" customWidth="1"/>
    <col min="9" max="9" width="9" style="1" hidden="1"/>
    <col min="10" max="257" width="8" style="1" hidden="1"/>
    <col min="258" max="258" width="28.125" style="1" hidden="1"/>
    <col min="259" max="259" width="8.125" style="1" hidden="1"/>
    <col min="260" max="260" width="9.125" style="1" hidden="1"/>
    <col min="261" max="261" width="9.75" style="1" hidden="1"/>
    <col min="262" max="262" width="11.125" style="1" hidden="1"/>
    <col min="263" max="263" width="10.375" style="1" hidden="1"/>
    <col min="264" max="264" width="10.5" style="1" hidden="1"/>
    <col min="265" max="513" width="8" style="1" hidden="1"/>
    <col min="514" max="514" width="28.125" style="1" hidden="1"/>
    <col min="515" max="515" width="8.125" style="1" hidden="1"/>
    <col min="516" max="516" width="9.125" style="1" hidden="1"/>
    <col min="517" max="517" width="9.75" style="1" hidden="1"/>
    <col min="518" max="518" width="11.125" style="1" hidden="1"/>
    <col min="519" max="519" width="10.375" style="1" hidden="1"/>
    <col min="520" max="520" width="10.5" style="1" hidden="1"/>
    <col min="521" max="769" width="8" style="1" hidden="1"/>
    <col min="770" max="770" width="28.125" style="1" hidden="1"/>
    <col min="771" max="771" width="8.125" style="1" hidden="1"/>
    <col min="772" max="772" width="9.125" style="1" hidden="1"/>
    <col min="773" max="773" width="9.75" style="1" hidden="1"/>
    <col min="774" max="774" width="11.125" style="1" hidden="1"/>
    <col min="775" max="775" width="10.375" style="1" hidden="1"/>
    <col min="776" max="776" width="10.5" style="1" hidden="1"/>
    <col min="777" max="1025" width="9" style="1" hidden="1"/>
    <col min="1026" max="1026" width="28.125" style="1" hidden="1"/>
    <col min="1027" max="1027" width="8.125" style="1" hidden="1"/>
    <col min="1028" max="1028" width="9.125" style="1" hidden="1"/>
    <col min="1029" max="1029" width="9.75" style="1" hidden="1"/>
    <col min="1030" max="1030" width="11.125" style="1" hidden="1"/>
    <col min="1031" max="1031" width="10.375" style="1" hidden="1"/>
    <col min="1032" max="1032" width="10.5" style="1" hidden="1"/>
    <col min="1033" max="1281" width="8" style="1" hidden="1"/>
    <col min="1282" max="1282" width="28.125" style="1" hidden="1"/>
    <col min="1283" max="1283" width="8.125" style="1" hidden="1"/>
    <col min="1284" max="1284" width="9.125" style="1" hidden="1"/>
    <col min="1285" max="1285" width="9.75" style="1" hidden="1"/>
    <col min="1286" max="1286" width="11.125" style="1" hidden="1"/>
    <col min="1287" max="1287" width="10.375" style="1" hidden="1"/>
    <col min="1288" max="1288" width="10.5" style="1" hidden="1"/>
    <col min="1289" max="1537" width="8" style="1" hidden="1"/>
    <col min="1538" max="1538" width="28.125" style="1" hidden="1"/>
    <col min="1539" max="1539" width="8.125" style="1" hidden="1"/>
    <col min="1540" max="1540" width="9.125" style="1" hidden="1"/>
    <col min="1541" max="1541" width="9.75" style="1" hidden="1"/>
    <col min="1542" max="1542" width="11.125" style="1" hidden="1"/>
    <col min="1543" max="1543" width="10.375" style="1" hidden="1"/>
    <col min="1544" max="1544" width="10.5" style="1" hidden="1"/>
    <col min="1545" max="1793" width="8" style="1" hidden="1"/>
    <col min="1794" max="1794" width="28.125" style="1" hidden="1"/>
    <col min="1795" max="1795" width="8.125" style="1" hidden="1"/>
    <col min="1796" max="1796" width="9.125" style="1" hidden="1"/>
    <col min="1797" max="1797" width="9.75" style="1" hidden="1"/>
    <col min="1798" max="1798" width="11.125" style="1" hidden="1"/>
    <col min="1799" max="1799" width="10.375" style="1" hidden="1"/>
    <col min="1800" max="1800" width="10.5" style="1" hidden="1"/>
    <col min="1801" max="2049" width="9" style="1" hidden="1"/>
    <col min="2050" max="2050" width="28.125" style="1" hidden="1"/>
    <col min="2051" max="2051" width="8.125" style="1" hidden="1"/>
    <col min="2052" max="2052" width="9.125" style="1" hidden="1"/>
    <col min="2053" max="2053" width="9.75" style="1" hidden="1"/>
    <col min="2054" max="2054" width="11.125" style="1" hidden="1"/>
    <col min="2055" max="2055" width="10.375" style="1" hidden="1"/>
    <col min="2056" max="2056" width="10.5" style="1" hidden="1"/>
    <col min="2057" max="2305" width="8" style="1" hidden="1"/>
    <col min="2306" max="2306" width="28.125" style="1" hidden="1"/>
    <col min="2307" max="2307" width="8.125" style="1" hidden="1"/>
    <col min="2308" max="2308" width="9.125" style="1" hidden="1"/>
    <col min="2309" max="2309" width="9.75" style="1" hidden="1"/>
    <col min="2310" max="2310" width="11.125" style="1" hidden="1"/>
    <col min="2311" max="2311" width="10.375" style="1" hidden="1"/>
    <col min="2312" max="2312" width="10.5" style="1" hidden="1"/>
    <col min="2313" max="2561" width="8" style="1" hidden="1"/>
    <col min="2562" max="2562" width="28.125" style="1" hidden="1"/>
    <col min="2563" max="2563" width="8.125" style="1" hidden="1"/>
    <col min="2564" max="2564" width="9.125" style="1" hidden="1"/>
    <col min="2565" max="2565" width="9.75" style="1" hidden="1"/>
    <col min="2566" max="2566" width="11.125" style="1" hidden="1"/>
    <col min="2567" max="2567" width="10.375" style="1" hidden="1"/>
    <col min="2568" max="2568" width="10.5" style="1" hidden="1"/>
    <col min="2569" max="2817" width="8" style="1" hidden="1"/>
    <col min="2818" max="2818" width="28.125" style="1" hidden="1"/>
    <col min="2819" max="2819" width="8.125" style="1" hidden="1"/>
    <col min="2820" max="2820" width="9.125" style="1" hidden="1"/>
    <col min="2821" max="2821" width="9.75" style="1" hidden="1"/>
    <col min="2822" max="2822" width="11.125" style="1" hidden="1"/>
    <col min="2823" max="2823" width="10.375" style="1" hidden="1"/>
    <col min="2824" max="2824" width="10.5" style="1" hidden="1"/>
    <col min="2825" max="3073" width="9" style="1" hidden="1"/>
    <col min="3074" max="3074" width="28.125" style="1" hidden="1"/>
    <col min="3075" max="3075" width="8.125" style="1" hidden="1"/>
    <col min="3076" max="3076" width="9.125" style="1" hidden="1"/>
    <col min="3077" max="3077" width="9.75" style="1" hidden="1"/>
    <col min="3078" max="3078" width="11.125" style="1" hidden="1"/>
    <col min="3079" max="3079" width="10.375" style="1" hidden="1"/>
    <col min="3080" max="3080" width="10.5" style="1" hidden="1"/>
    <col min="3081" max="3329" width="8" style="1" hidden="1"/>
    <col min="3330" max="3330" width="28.125" style="1" hidden="1"/>
    <col min="3331" max="3331" width="8.125" style="1" hidden="1"/>
    <col min="3332" max="3332" width="9.125" style="1" hidden="1"/>
    <col min="3333" max="3333" width="9.75" style="1" hidden="1"/>
    <col min="3334" max="3334" width="11.125" style="1" hidden="1"/>
    <col min="3335" max="3335" width="10.375" style="1" hidden="1"/>
    <col min="3336" max="3336" width="10.5" style="1" hidden="1"/>
    <col min="3337" max="3585" width="8" style="1" hidden="1"/>
    <col min="3586" max="3586" width="28.125" style="1" hidden="1"/>
    <col min="3587" max="3587" width="8.125" style="1" hidden="1"/>
    <col min="3588" max="3588" width="9.125" style="1" hidden="1"/>
    <col min="3589" max="3589" width="9.75" style="1" hidden="1"/>
    <col min="3590" max="3590" width="11.125" style="1" hidden="1"/>
    <col min="3591" max="3591" width="10.375" style="1" hidden="1"/>
    <col min="3592" max="3592" width="10.5" style="1" hidden="1"/>
    <col min="3593" max="3841" width="8" style="1" hidden="1"/>
    <col min="3842" max="3842" width="28.125" style="1" hidden="1"/>
    <col min="3843" max="3843" width="8.125" style="1" hidden="1"/>
    <col min="3844" max="3844" width="9.125" style="1" hidden="1"/>
    <col min="3845" max="3845" width="9.75" style="1" hidden="1"/>
    <col min="3846" max="3846" width="11.125" style="1" hidden="1"/>
    <col min="3847" max="3847" width="10.375" style="1" hidden="1"/>
    <col min="3848" max="3848" width="10.5" style="1" hidden="1"/>
    <col min="3849" max="4097" width="9" style="1" hidden="1"/>
    <col min="4098" max="4098" width="28.125" style="1" hidden="1"/>
    <col min="4099" max="4099" width="8.125" style="1" hidden="1"/>
    <col min="4100" max="4100" width="9.125" style="1" hidden="1"/>
    <col min="4101" max="4101" width="9.75" style="1" hidden="1"/>
    <col min="4102" max="4102" width="11.125" style="1" hidden="1"/>
    <col min="4103" max="4103" width="10.375" style="1" hidden="1"/>
    <col min="4104" max="4104" width="10.5" style="1" hidden="1"/>
    <col min="4105" max="4353" width="8" style="1" hidden="1"/>
    <col min="4354" max="4354" width="28.125" style="1" hidden="1"/>
    <col min="4355" max="4355" width="8.125" style="1" hidden="1"/>
    <col min="4356" max="4356" width="9.125" style="1" hidden="1"/>
    <col min="4357" max="4357" width="9.75" style="1" hidden="1"/>
    <col min="4358" max="4358" width="11.125" style="1" hidden="1"/>
    <col min="4359" max="4359" width="10.375" style="1" hidden="1"/>
    <col min="4360" max="4360" width="10.5" style="1" hidden="1"/>
    <col min="4361" max="4609" width="8" style="1" hidden="1"/>
    <col min="4610" max="4610" width="28.125" style="1" hidden="1"/>
    <col min="4611" max="4611" width="8.125" style="1" hidden="1"/>
    <col min="4612" max="4612" width="9.125" style="1" hidden="1"/>
    <col min="4613" max="4613" width="9.75" style="1" hidden="1"/>
    <col min="4614" max="4614" width="11.125" style="1" hidden="1"/>
    <col min="4615" max="4615" width="10.375" style="1" hidden="1"/>
    <col min="4616" max="4616" width="10.5" style="1" hidden="1"/>
    <col min="4617" max="4865" width="8" style="1" hidden="1"/>
    <col min="4866" max="4866" width="28.125" style="1" hidden="1"/>
    <col min="4867" max="4867" width="8.125" style="1" hidden="1"/>
    <col min="4868" max="4868" width="9.125" style="1" hidden="1"/>
    <col min="4869" max="4869" width="9.75" style="1" hidden="1"/>
    <col min="4870" max="4870" width="11.125" style="1" hidden="1"/>
    <col min="4871" max="4871" width="10.375" style="1" hidden="1"/>
    <col min="4872" max="4872" width="10.5" style="1" hidden="1"/>
    <col min="4873" max="5121" width="9" style="1" hidden="1"/>
    <col min="5122" max="5122" width="28.125" style="1" hidden="1"/>
    <col min="5123" max="5123" width="8.125" style="1" hidden="1"/>
    <col min="5124" max="5124" width="9.125" style="1" hidden="1"/>
    <col min="5125" max="5125" width="9.75" style="1" hidden="1"/>
    <col min="5126" max="5126" width="11.125" style="1" hidden="1"/>
    <col min="5127" max="5127" width="10.375" style="1" hidden="1"/>
    <col min="5128" max="5128" width="10.5" style="1" hidden="1"/>
    <col min="5129" max="5377" width="8" style="1" hidden="1"/>
    <col min="5378" max="5378" width="28.125" style="1" hidden="1"/>
    <col min="5379" max="5379" width="8.125" style="1" hidden="1"/>
    <col min="5380" max="5380" width="9.125" style="1" hidden="1"/>
    <col min="5381" max="5381" width="9.75" style="1" hidden="1"/>
    <col min="5382" max="5382" width="11.125" style="1" hidden="1"/>
    <col min="5383" max="5383" width="10.375" style="1" hidden="1"/>
    <col min="5384" max="5384" width="10.5" style="1" hidden="1"/>
    <col min="5385" max="5633" width="8" style="1" hidden="1"/>
    <col min="5634" max="5634" width="28.125" style="1" hidden="1"/>
    <col min="5635" max="5635" width="8.125" style="1" hidden="1"/>
    <col min="5636" max="5636" width="9.125" style="1" hidden="1"/>
    <col min="5637" max="5637" width="9.75" style="1" hidden="1"/>
    <col min="5638" max="5638" width="11.125" style="1" hidden="1"/>
    <col min="5639" max="5639" width="10.375" style="1" hidden="1"/>
    <col min="5640" max="5640" width="10.5" style="1" hidden="1"/>
    <col min="5641" max="5889" width="8" style="1" hidden="1"/>
    <col min="5890" max="5890" width="28.125" style="1" hidden="1"/>
    <col min="5891" max="5891" width="8.125" style="1" hidden="1"/>
    <col min="5892" max="5892" width="9.125" style="1" hidden="1"/>
    <col min="5893" max="5893" width="9.75" style="1" hidden="1"/>
    <col min="5894" max="5894" width="11.125" style="1" hidden="1"/>
    <col min="5895" max="5895" width="10.375" style="1" hidden="1"/>
    <col min="5896" max="5896" width="10.5" style="1" hidden="1"/>
    <col min="5897" max="6145" width="9" style="1" hidden="1"/>
    <col min="6146" max="6146" width="28.125" style="1" hidden="1"/>
    <col min="6147" max="6147" width="8.125" style="1" hidden="1"/>
    <col min="6148" max="6148" width="9.125" style="1" hidden="1"/>
    <col min="6149" max="6149" width="9.75" style="1" hidden="1"/>
    <col min="6150" max="6150" width="11.125" style="1" hidden="1"/>
    <col min="6151" max="6151" width="10.375" style="1" hidden="1"/>
    <col min="6152" max="6152" width="10.5" style="1" hidden="1"/>
    <col min="6153" max="6401" width="8" style="1" hidden="1"/>
    <col min="6402" max="6402" width="28.125" style="1" hidden="1"/>
    <col min="6403" max="6403" width="8.125" style="1" hidden="1"/>
    <col min="6404" max="6404" width="9.125" style="1" hidden="1"/>
    <col min="6405" max="6405" width="9.75" style="1" hidden="1"/>
    <col min="6406" max="6406" width="11.125" style="1" hidden="1"/>
    <col min="6407" max="6407" width="10.375" style="1" hidden="1"/>
    <col min="6408" max="6408" width="10.5" style="1" hidden="1"/>
    <col min="6409" max="6657" width="8" style="1" hidden="1"/>
    <col min="6658" max="6658" width="28.125" style="1" hidden="1"/>
    <col min="6659" max="6659" width="8.125" style="1" hidden="1"/>
    <col min="6660" max="6660" width="9.125" style="1" hidden="1"/>
    <col min="6661" max="6661" width="9.75" style="1" hidden="1"/>
    <col min="6662" max="6662" width="11.125" style="1" hidden="1"/>
    <col min="6663" max="6663" width="10.375" style="1" hidden="1"/>
    <col min="6664" max="6664" width="10.5" style="1" hidden="1"/>
    <col min="6665" max="6913" width="8" style="1" hidden="1"/>
    <col min="6914" max="6914" width="28.125" style="1" hidden="1"/>
    <col min="6915" max="6915" width="8.125" style="1" hidden="1"/>
    <col min="6916" max="6916" width="9.125" style="1" hidden="1"/>
    <col min="6917" max="6917" width="9.75" style="1" hidden="1"/>
    <col min="6918" max="6918" width="11.125" style="1" hidden="1"/>
    <col min="6919" max="6919" width="10.375" style="1" hidden="1"/>
    <col min="6920" max="6920" width="10.5" style="1" hidden="1"/>
    <col min="6921" max="7169" width="9" style="1" hidden="1"/>
    <col min="7170" max="7170" width="28.125" style="1" hidden="1"/>
    <col min="7171" max="7171" width="8.125" style="1" hidden="1"/>
    <col min="7172" max="7172" width="9.125" style="1" hidden="1"/>
    <col min="7173" max="7173" width="9.75" style="1" hidden="1"/>
    <col min="7174" max="7174" width="11.125" style="1" hidden="1"/>
    <col min="7175" max="7175" width="10.375" style="1" hidden="1"/>
    <col min="7176" max="7176" width="10.5" style="1" hidden="1"/>
    <col min="7177" max="7425" width="8" style="1" hidden="1"/>
    <col min="7426" max="7426" width="28.125" style="1" hidden="1"/>
    <col min="7427" max="7427" width="8.125" style="1" hidden="1"/>
    <col min="7428" max="7428" width="9.125" style="1" hidden="1"/>
    <col min="7429" max="7429" width="9.75" style="1" hidden="1"/>
    <col min="7430" max="7430" width="11.125" style="1" hidden="1"/>
    <col min="7431" max="7431" width="10.375" style="1" hidden="1"/>
    <col min="7432" max="7432" width="10.5" style="1" hidden="1"/>
    <col min="7433" max="7681" width="8" style="1" hidden="1"/>
    <col min="7682" max="7682" width="28.125" style="1" hidden="1"/>
    <col min="7683" max="7683" width="8.125" style="1" hidden="1"/>
    <col min="7684" max="7684" width="9.125" style="1" hidden="1"/>
    <col min="7685" max="7685" width="9.75" style="1" hidden="1"/>
    <col min="7686" max="7686" width="11.125" style="1" hidden="1"/>
    <col min="7687" max="7687" width="10.375" style="1" hidden="1"/>
    <col min="7688" max="7688" width="10.5" style="1" hidden="1"/>
    <col min="7689" max="7937" width="8" style="1" hidden="1"/>
    <col min="7938" max="7938" width="28.125" style="1" hidden="1"/>
    <col min="7939" max="7939" width="8.125" style="1" hidden="1"/>
    <col min="7940" max="7940" width="9.125" style="1" hidden="1"/>
    <col min="7941" max="7941" width="9.75" style="1" hidden="1"/>
    <col min="7942" max="7942" width="11.125" style="1" hidden="1"/>
    <col min="7943" max="7943" width="10.375" style="1" hidden="1"/>
    <col min="7944" max="7944" width="10.5" style="1" hidden="1"/>
    <col min="7945" max="8193" width="9" style="1" hidden="1"/>
    <col min="8194" max="8194" width="28.125" style="1" hidden="1"/>
    <col min="8195" max="8195" width="8.125" style="1" hidden="1"/>
    <col min="8196" max="8196" width="9.125" style="1" hidden="1"/>
    <col min="8197" max="8197" width="9.75" style="1" hidden="1"/>
    <col min="8198" max="8198" width="11.125" style="1" hidden="1"/>
    <col min="8199" max="8199" width="10.375" style="1" hidden="1"/>
    <col min="8200" max="8200" width="10.5" style="1" hidden="1"/>
    <col min="8201" max="8449" width="8" style="1" hidden="1"/>
    <col min="8450" max="8450" width="28.125" style="1" hidden="1"/>
    <col min="8451" max="8451" width="8.125" style="1" hidden="1"/>
    <col min="8452" max="8452" width="9.125" style="1" hidden="1"/>
    <col min="8453" max="8453" width="9.75" style="1" hidden="1"/>
    <col min="8454" max="8454" width="11.125" style="1" hidden="1"/>
    <col min="8455" max="8455" width="10.375" style="1" hidden="1"/>
    <col min="8456" max="8456" width="10.5" style="1" hidden="1"/>
    <col min="8457" max="8705" width="8" style="1" hidden="1"/>
    <col min="8706" max="8706" width="28.125" style="1" hidden="1"/>
    <col min="8707" max="8707" width="8.125" style="1" hidden="1"/>
    <col min="8708" max="8708" width="9.125" style="1" hidden="1"/>
    <col min="8709" max="8709" width="9.75" style="1" hidden="1"/>
    <col min="8710" max="8710" width="11.125" style="1" hidden="1"/>
    <col min="8711" max="8711" width="10.375" style="1" hidden="1"/>
    <col min="8712" max="8712" width="10.5" style="1" hidden="1"/>
    <col min="8713" max="8961" width="8" style="1" hidden="1"/>
    <col min="8962" max="8962" width="28.125" style="1" hidden="1"/>
    <col min="8963" max="8963" width="8.125" style="1" hidden="1"/>
    <col min="8964" max="8964" width="9.125" style="1" hidden="1"/>
    <col min="8965" max="8965" width="9.75" style="1" hidden="1"/>
    <col min="8966" max="8966" width="11.125" style="1" hidden="1"/>
    <col min="8967" max="8967" width="10.375" style="1" hidden="1"/>
    <col min="8968" max="8968" width="10.5" style="1" hidden="1"/>
    <col min="8969" max="9217" width="9" style="1" hidden="1"/>
    <col min="9218" max="9218" width="28.125" style="1" hidden="1"/>
    <col min="9219" max="9219" width="8.125" style="1" hidden="1"/>
    <col min="9220" max="9220" width="9.125" style="1" hidden="1"/>
    <col min="9221" max="9221" width="9.75" style="1" hidden="1"/>
    <col min="9222" max="9222" width="11.125" style="1" hidden="1"/>
    <col min="9223" max="9223" width="10.375" style="1" hidden="1"/>
    <col min="9224" max="9224" width="10.5" style="1" hidden="1"/>
    <col min="9225" max="9473" width="8" style="1" hidden="1"/>
    <col min="9474" max="9474" width="28.125" style="1" hidden="1"/>
    <col min="9475" max="9475" width="8.125" style="1" hidden="1"/>
    <col min="9476" max="9476" width="9.125" style="1" hidden="1"/>
    <col min="9477" max="9477" width="9.75" style="1" hidden="1"/>
    <col min="9478" max="9478" width="11.125" style="1" hidden="1"/>
    <col min="9479" max="9479" width="10.375" style="1" hidden="1"/>
    <col min="9480" max="9480" width="10.5" style="1" hidden="1"/>
    <col min="9481" max="9729" width="8" style="1" hidden="1"/>
    <col min="9730" max="9730" width="28.125" style="1" hidden="1"/>
    <col min="9731" max="9731" width="8.125" style="1" hidden="1"/>
    <col min="9732" max="9732" width="9.125" style="1" hidden="1"/>
    <col min="9733" max="9733" width="9.75" style="1" hidden="1"/>
    <col min="9734" max="9734" width="11.125" style="1" hidden="1"/>
    <col min="9735" max="9735" width="10.375" style="1" hidden="1"/>
    <col min="9736" max="9736" width="10.5" style="1" hidden="1"/>
    <col min="9737" max="9985" width="8" style="1" hidden="1"/>
    <col min="9986" max="9986" width="28.125" style="1" hidden="1"/>
    <col min="9987" max="9987" width="8.125" style="1" hidden="1"/>
    <col min="9988" max="9988" width="9.125" style="1" hidden="1"/>
    <col min="9989" max="9989" width="9.75" style="1" hidden="1"/>
    <col min="9990" max="9990" width="11.125" style="1" hidden="1"/>
    <col min="9991" max="9991" width="10.375" style="1" hidden="1"/>
    <col min="9992" max="9992" width="10.5" style="1" hidden="1"/>
    <col min="9993" max="10241" width="9" style="1" hidden="1"/>
    <col min="10242" max="10242" width="28.125" style="1" hidden="1"/>
    <col min="10243" max="10243" width="8.125" style="1" hidden="1"/>
    <col min="10244" max="10244" width="9.125" style="1" hidden="1"/>
    <col min="10245" max="10245" width="9.75" style="1" hidden="1"/>
    <col min="10246" max="10246" width="11.125" style="1" hidden="1"/>
    <col min="10247" max="10247" width="10.375" style="1" hidden="1"/>
    <col min="10248" max="10248" width="10.5" style="1" hidden="1"/>
    <col min="10249" max="10497" width="8" style="1" hidden="1"/>
    <col min="10498" max="10498" width="28.125" style="1" hidden="1"/>
    <col min="10499" max="10499" width="8.125" style="1" hidden="1"/>
    <col min="10500" max="10500" width="9.125" style="1" hidden="1"/>
    <col min="10501" max="10501" width="9.75" style="1" hidden="1"/>
    <col min="10502" max="10502" width="11.125" style="1" hidden="1"/>
    <col min="10503" max="10503" width="10.375" style="1" hidden="1"/>
    <col min="10504" max="10504" width="10.5" style="1" hidden="1"/>
    <col min="10505" max="10753" width="8" style="1" hidden="1"/>
    <col min="10754" max="10754" width="28.125" style="1" hidden="1"/>
    <col min="10755" max="10755" width="8.125" style="1" hidden="1"/>
    <col min="10756" max="10756" width="9.125" style="1" hidden="1"/>
    <col min="10757" max="10757" width="9.75" style="1" hidden="1"/>
    <col min="10758" max="10758" width="11.125" style="1" hidden="1"/>
    <col min="10759" max="10759" width="10.375" style="1" hidden="1"/>
    <col min="10760" max="10760" width="10.5" style="1" hidden="1"/>
    <col min="10761" max="11009" width="8" style="1" hidden="1"/>
    <col min="11010" max="11010" width="28.125" style="1" hidden="1"/>
    <col min="11011" max="11011" width="8.125" style="1" hidden="1"/>
    <col min="11012" max="11012" width="9.125" style="1" hidden="1"/>
    <col min="11013" max="11013" width="9.75" style="1" hidden="1"/>
    <col min="11014" max="11014" width="11.125" style="1" hidden="1"/>
    <col min="11015" max="11015" width="10.375" style="1" hidden="1"/>
    <col min="11016" max="11016" width="10.5" style="1" hidden="1"/>
    <col min="11017" max="11265" width="9" style="1" hidden="1"/>
    <col min="11266" max="11266" width="28.125" style="1" hidden="1"/>
    <col min="11267" max="11267" width="8.125" style="1" hidden="1"/>
    <col min="11268" max="11268" width="9.125" style="1" hidden="1"/>
    <col min="11269" max="11269" width="9.75" style="1" hidden="1"/>
    <col min="11270" max="11270" width="11.125" style="1" hidden="1"/>
    <col min="11271" max="11271" width="10.375" style="1" hidden="1"/>
    <col min="11272" max="11272" width="10.5" style="1" hidden="1"/>
    <col min="11273" max="11521" width="8" style="1" hidden="1"/>
    <col min="11522" max="11522" width="28.125" style="1" hidden="1"/>
    <col min="11523" max="11523" width="8.125" style="1" hidden="1"/>
    <col min="11524" max="11524" width="9.125" style="1" hidden="1"/>
    <col min="11525" max="11525" width="9.75" style="1" hidden="1"/>
    <col min="11526" max="11526" width="11.125" style="1" hidden="1"/>
    <col min="11527" max="11527" width="10.375" style="1" hidden="1"/>
    <col min="11528" max="11528" width="10.5" style="1" hidden="1"/>
    <col min="11529" max="11777" width="8" style="1" hidden="1"/>
    <col min="11778" max="11778" width="28.125" style="1" hidden="1"/>
    <col min="11779" max="11779" width="8.125" style="1" hidden="1"/>
    <col min="11780" max="11780" width="9.125" style="1" hidden="1"/>
    <col min="11781" max="11781" width="9.75" style="1" hidden="1"/>
    <col min="11782" max="11782" width="11.125" style="1" hidden="1"/>
    <col min="11783" max="11783" width="10.375" style="1" hidden="1"/>
    <col min="11784" max="11784" width="10.5" style="1" hidden="1"/>
    <col min="11785" max="12033" width="8" style="1" hidden="1"/>
    <col min="12034" max="12034" width="28.125" style="1" hidden="1"/>
    <col min="12035" max="12035" width="8.125" style="1" hidden="1"/>
    <col min="12036" max="12036" width="9.125" style="1" hidden="1"/>
    <col min="12037" max="12037" width="9.75" style="1" hidden="1"/>
    <col min="12038" max="12038" width="11.125" style="1" hidden="1"/>
    <col min="12039" max="12039" width="10.375" style="1" hidden="1"/>
    <col min="12040" max="12040" width="10.5" style="1" hidden="1"/>
    <col min="12041" max="12289" width="9" style="1" hidden="1"/>
    <col min="12290" max="12290" width="28.125" style="1" hidden="1"/>
    <col min="12291" max="12291" width="8.125" style="1" hidden="1"/>
    <col min="12292" max="12292" width="9.125" style="1" hidden="1"/>
    <col min="12293" max="12293" width="9.75" style="1" hidden="1"/>
    <col min="12294" max="12294" width="11.125" style="1" hidden="1"/>
    <col min="12295" max="12295" width="10.375" style="1" hidden="1"/>
    <col min="12296" max="12296" width="10.5" style="1" hidden="1"/>
    <col min="12297" max="12545" width="8" style="1" hidden="1"/>
    <col min="12546" max="12546" width="28.125" style="1" hidden="1"/>
    <col min="12547" max="12547" width="8.125" style="1" hidden="1"/>
    <col min="12548" max="12548" width="9.125" style="1" hidden="1"/>
    <col min="12549" max="12549" width="9.75" style="1" hidden="1"/>
    <col min="12550" max="12550" width="11.125" style="1" hidden="1"/>
    <col min="12551" max="12551" width="10.375" style="1" hidden="1"/>
    <col min="12552" max="12552" width="10.5" style="1" hidden="1"/>
    <col min="12553" max="12801" width="8" style="1" hidden="1"/>
    <col min="12802" max="12802" width="28.125" style="1" hidden="1"/>
    <col min="12803" max="12803" width="8.125" style="1" hidden="1"/>
    <col min="12804" max="12804" width="9.125" style="1" hidden="1"/>
    <col min="12805" max="12805" width="9.75" style="1" hidden="1"/>
    <col min="12806" max="12806" width="11.125" style="1" hidden="1"/>
    <col min="12807" max="12807" width="10.375" style="1" hidden="1"/>
    <col min="12808" max="12808" width="10.5" style="1" hidden="1"/>
    <col min="12809" max="13057" width="8" style="1" hidden="1"/>
    <col min="13058" max="13058" width="28.125" style="1" hidden="1"/>
    <col min="13059" max="13059" width="8.125" style="1" hidden="1"/>
    <col min="13060" max="13060" width="9.125" style="1" hidden="1"/>
    <col min="13061" max="13061" width="9.75" style="1" hidden="1"/>
    <col min="13062" max="13062" width="11.125" style="1" hidden="1"/>
    <col min="13063" max="13063" width="10.375" style="1" hidden="1"/>
    <col min="13064" max="13064" width="10.5" style="1" hidden="1"/>
    <col min="13065" max="13313" width="9" style="1" hidden="1"/>
    <col min="13314" max="13314" width="28.125" style="1" hidden="1"/>
    <col min="13315" max="13315" width="8.125" style="1" hidden="1"/>
    <col min="13316" max="13316" width="9.125" style="1" hidden="1"/>
    <col min="13317" max="13317" width="9.75" style="1" hidden="1"/>
    <col min="13318" max="13318" width="11.125" style="1" hidden="1"/>
    <col min="13319" max="13319" width="10.375" style="1" hidden="1"/>
    <col min="13320" max="13320" width="10.5" style="1" hidden="1"/>
    <col min="13321" max="13569" width="8" style="1" hidden="1"/>
    <col min="13570" max="13570" width="28.125" style="1" hidden="1"/>
    <col min="13571" max="13571" width="8.125" style="1" hidden="1"/>
    <col min="13572" max="13572" width="9.125" style="1" hidden="1"/>
    <col min="13573" max="13573" width="9.75" style="1" hidden="1"/>
    <col min="13574" max="13574" width="11.125" style="1" hidden="1"/>
    <col min="13575" max="13575" width="10.375" style="1" hidden="1"/>
    <col min="13576" max="13576" width="10.5" style="1" hidden="1"/>
    <col min="13577" max="13825" width="8" style="1" hidden="1"/>
    <col min="13826" max="13826" width="28.125" style="1" hidden="1"/>
    <col min="13827" max="13827" width="8.125" style="1" hidden="1"/>
    <col min="13828" max="13828" width="9.125" style="1" hidden="1"/>
    <col min="13829" max="13829" width="9.75" style="1" hidden="1"/>
    <col min="13830" max="13830" width="11.125" style="1" hidden="1"/>
    <col min="13831" max="13831" width="10.375" style="1" hidden="1"/>
    <col min="13832" max="13832" width="10.5" style="1" hidden="1"/>
    <col min="13833" max="14081" width="8" style="1" hidden="1"/>
    <col min="14082" max="14082" width="28.125" style="1" hidden="1"/>
    <col min="14083" max="14083" width="8.125" style="1" hidden="1"/>
    <col min="14084" max="14084" width="9.125" style="1" hidden="1"/>
    <col min="14085" max="14085" width="9.75" style="1" hidden="1"/>
    <col min="14086" max="14086" width="11.125" style="1" hidden="1"/>
    <col min="14087" max="14087" width="10.375" style="1" hidden="1"/>
    <col min="14088" max="14088" width="10.5" style="1" hidden="1"/>
    <col min="14089" max="14337" width="9" style="1" hidden="1"/>
    <col min="14338" max="14338" width="28.125" style="1" hidden="1"/>
    <col min="14339" max="14339" width="8.125" style="1" hidden="1"/>
    <col min="14340" max="14340" width="9.125" style="1" hidden="1"/>
    <col min="14341" max="14341" width="9.75" style="1" hidden="1"/>
    <col min="14342" max="14342" width="11.125" style="1" hidden="1"/>
    <col min="14343" max="14343" width="10.375" style="1" hidden="1"/>
    <col min="14344" max="14344" width="10.5" style="1" hidden="1"/>
    <col min="14345" max="14593" width="8" style="1" hidden="1"/>
    <col min="14594" max="14594" width="28.125" style="1" hidden="1"/>
    <col min="14595" max="14595" width="8.125" style="1" hidden="1"/>
    <col min="14596" max="14596" width="9.125" style="1" hidden="1"/>
    <col min="14597" max="14597" width="9.75" style="1" hidden="1"/>
    <col min="14598" max="14598" width="11.125" style="1" hidden="1"/>
    <col min="14599" max="14599" width="10.375" style="1" hidden="1"/>
    <col min="14600" max="14600" width="10.5" style="1" hidden="1"/>
    <col min="14601" max="14849" width="8" style="1" hidden="1"/>
    <col min="14850" max="14850" width="28.125" style="1" hidden="1"/>
    <col min="14851" max="14851" width="8.125" style="1" hidden="1"/>
    <col min="14852" max="14852" width="9.125" style="1" hidden="1"/>
    <col min="14853" max="14853" width="9.75" style="1" hidden="1"/>
    <col min="14854" max="14854" width="11.125" style="1" hidden="1"/>
    <col min="14855" max="14855" width="10.375" style="1" hidden="1"/>
    <col min="14856" max="14856" width="10.5" style="1" hidden="1"/>
    <col min="14857" max="15105" width="8" style="1" hidden="1"/>
    <col min="15106" max="15106" width="28.125" style="1" hidden="1"/>
    <col min="15107" max="15107" width="8.125" style="1" hidden="1"/>
    <col min="15108" max="15108" width="9.125" style="1" hidden="1"/>
    <col min="15109" max="15109" width="9.75" style="1" hidden="1"/>
    <col min="15110" max="15110" width="11.125" style="1" hidden="1"/>
    <col min="15111" max="15111" width="10.375" style="1" hidden="1"/>
    <col min="15112" max="15112" width="10.5" style="1" hidden="1"/>
    <col min="15113" max="15361" width="9" style="1" hidden="1"/>
    <col min="15362" max="15362" width="28.125" style="1" hidden="1"/>
    <col min="15363" max="15363" width="8.125" style="1" hidden="1"/>
    <col min="15364" max="15364" width="9.125" style="1" hidden="1"/>
    <col min="15365" max="15365" width="9.75" style="1" hidden="1"/>
    <col min="15366" max="15366" width="11.125" style="1" hidden="1"/>
    <col min="15367" max="15367" width="10.375" style="1" hidden="1"/>
    <col min="15368" max="15368" width="10.5" style="1" hidden="1"/>
    <col min="15369" max="15617" width="8" style="1" hidden="1"/>
    <col min="15618" max="15618" width="28.125" style="1" hidden="1"/>
    <col min="15619" max="15619" width="8.125" style="1" hidden="1"/>
    <col min="15620" max="15620" width="9.125" style="1" hidden="1"/>
    <col min="15621" max="15621" width="9.75" style="1" hidden="1"/>
    <col min="15622" max="15622" width="11.125" style="1" hidden="1"/>
    <col min="15623" max="15623" width="10.375" style="1" hidden="1"/>
    <col min="15624" max="15624" width="10.5" style="1" hidden="1"/>
    <col min="15625" max="15873" width="8" style="1" hidden="1"/>
    <col min="15874" max="15874" width="28.125" style="1" hidden="1"/>
    <col min="15875" max="15875" width="8.125" style="1" hidden="1"/>
    <col min="15876" max="15876" width="9.125" style="1" hidden="1"/>
    <col min="15877" max="15877" width="9.75" style="1" hidden="1"/>
    <col min="15878" max="15878" width="11.125" style="1" hidden="1"/>
    <col min="15879" max="15879" width="10.375" style="1" hidden="1"/>
    <col min="15880" max="15880" width="10.5" style="1" hidden="1"/>
    <col min="15881" max="16129" width="8" style="1" hidden="1"/>
    <col min="16130" max="16130" width="28.125" style="1" hidden="1"/>
    <col min="16131" max="16131" width="8.125" style="1" hidden="1"/>
    <col min="16132" max="16132" width="9.125" style="1" hidden="1"/>
    <col min="16133" max="16133" width="9.75" style="1" hidden="1"/>
    <col min="16134" max="16134" width="11.125" style="1" hidden="1"/>
    <col min="16135" max="16135" width="10.375" style="1" hidden="1"/>
    <col min="16136" max="16136" width="10.5" style="1" hidden="1"/>
    <col min="16137" max="16384" width="9" style="1" hidden="1"/>
  </cols>
  <sheetData>
    <row r="1" spans="2:8" ht="15.95" customHeight="1">
      <c r="C1" s="7"/>
      <c r="E1" s="45" t="s">
        <v>29</v>
      </c>
      <c r="F1" s="156" t="s">
        <v>393</v>
      </c>
    </row>
    <row r="2" spans="2:8" ht="15.95" customHeight="1" thickBot="1">
      <c r="B2" s="3"/>
      <c r="C2" s="2"/>
      <c r="E2" s="2"/>
      <c r="F2" s="4"/>
      <c r="G2" s="4"/>
      <c r="H2" s="4"/>
    </row>
    <row r="3" spans="2:8" ht="20.25" customHeight="1">
      <c r="B3" s="308" t="s">
        <v>439</v>
      </c>
      <c r="C3" s="309"/>
      <c r="D3" s="309"/>
      <c r="E3" s="309"/>
      <c r="F3" s="310"/>
      <c r="G3" s="4"/>
      <c r="H3" s="4"/>
    </row>
    <row r="4" spans="2:8" ht="15.95" customHeight="1">
      <c r="B4" s="228"/>
      <c r="C4" s="7"/>
      <c r="E4" s="2"/>
      <c r="F4" s="8"/>
      <c r="G4" s="9"/>
      <c r="H4" s="2"/>
    </row>
    <row r="5" spans="2:8" ht="15.95" customHeight="1">
      <c r="B5" s="44"/>
      <c r="C5" s="54" t="s">
        <v>12</v>
      </c>
      <c r="D5" s="54" t="s">
        <v>17</v>
      </c>
      <c r="E5" s="55" t="s">
        <v>474</v>
      </c>
      <c r="F5" s="56" t="s">
        <v>468</v>
      </c>
      <c r="G5" s="9"/>
      <c r="H5" s="9"/>
    </row>
    <row r="6" spans="2:8" ht="15.95" customHeight="1">
      <c r="B6" s="51" t="s">
        <v>467</v>
      </c>
      <c r="C6" s="41"/>
      <c r="D6" s="41"/>
      <c r="E6" s="9"/>
      <c r="F6" s="8"/>
      <c r="G6" s="9"/>
      <c r="H6" s="2"/>
    </row>
    <row r="7" spans="2:8" ht="15.95" customHeight="1">
      <c r="B7" s="11" t="s">
        <v>434</v>
      </c>
      <c r="C7" s="45" t="s">
        <v>366</v>
      </c>
      <c r="D7" s="236">
        <f>Inputs!G5</f>
        <v>9</v>
      </c>
      <c r="E7" s="237">
        <f>Inputs!G6</f>
        <v>112.8</v>
      </c>
      <c r="F7" s="153">
        <f>D7*E7</f>
        <v>1015.1999999999999</v>
      </c>
      <c r="G7" s="2"/>
      <c r="H7" s="2"/>
    </row>
    <row r="8" spans="2:8" ht="15.95" customHeight="1">
      <c r="B8" s="11" t="s">
        <v>370</v>
      </c>
      <c r="C8" s="7"/>
      <c r="D8" s="46"/>
      <c r="E8" s="47"/>
      <c r="F8" s="155">
        <f>D8*E8</f>
        <v>0</v>
      </c>
      <c r="G8" s="2"/>
      <c r="H8" s="2"/>
    </row>
    <row r="9" spans="2:8" ht="15.95" customHeight="1">
      <c r="B9" s="43" t="s">
        <v>470</v>
      </c>
      <c r="C9" s="2"/>
      <c r="D9" s="13"/>
      <c r="E9" s="13"/>
      <c r="F9" s="152">
        <f>SUM(F7:F8)</f>
        <v>1015.1999999999999</v>
      </c>
      <c r="G9" s="2"/>
      <c r="H9" s="2"/>
    </row>
    <row r="10" spans="2:8" ht="15.95" customHeight="1">
      <c r="B10" s="5"/>
      <c r="C10" s="2"/>
      <c r="D10" s="13"/>
      <c r="E10" s="2"/>
      <c r="F10" s="12"/>
      <c r="G10" s="2"/>
      <c r="H10" s="2"/>
    </row>
    <row r="11" spans="2:8" ht="15.95" customHeight="1">
      <c r="B11" s="52" t="s">
        <v>476</v>
      </c>
      <c r="C11" s="55" t="s">
        <v>32</v>
      </c>
      <c r="D11" s="55" t="s">
        <v>31</v>
      </c>
      <c r="E11" s="55" t="s">
        <v>475</v>
      </c>
      <c r="F11" s="56" t="s">
        <v>468</v>
      </c>
      <c r="G11" s="14"/>
      <c r="H11" s="14"/>
    </row>
    <row r="12" spans="2:8" ht="15.95" customHeight="1">
      <c r="B12" s="15" t="s">
        <v>33</v>
      </c>
      <c r="C12" s="13"/>
      <c r="D12" s="2"/>
      <c r="E12" s="238"/>
      <c r="F12" s="234">
        <f>C12*D12</f>
        <v>0</v>
      </c>
      <c r="G12" s="2"/>
      <c r="H12" s="2"/>
    </row>
    <row r="13" spans="2:8" ht="15.95" customHeight="1">
      <c r="B13" s="15" t="s">
        <v>34</v>
      </c>
      <c r="C13" s="2"/>
      <c r="D13" s="13"/>
      <c r="E13" s="239"/>
      <c r="F13" s="234">
        <f>SUM(E14:E17)</f>
        <v>125.4</v>
      </c>
      <c r="G13" s="2"/>
      <c r="H13" s="2"/>
    </row>
    <row r="14" spans="2:8" ht="15.95" customHeight="1">
      <c r="B14" s="18" t="s">
        <v>35</v>
      </c>
      <c r="C14" s="58">
        <v>0</v>
      </c>
      <c r="D14" s="13">
        <f>Inputs!D30</f>
        <v>0.6</v>
      </c>
      <c r="E14" s="2">
        <f>C14*D14</f>
        <v>0</v>
      </c>
      <c r="F14" s="234"/>
      <c r="G14" s="2"/>
      <c r="H14" s="2"/>
    </row>
    <row r="15" spans="2:8" ht="15.95" customHeight="1">
      <c r="B15" s="18" t="s">
        <v>36</v>
      </c>
      <c r="C15" s="58">
        <f>Inputs!E20</f>
        <v>70</v>
      </c>
      <c r="D15" s="13">
        <f>Inputs!D31</f>
        <v>0.62</v>
      </c>
      <c r="E15" s="2">
        <f t="shared" ref="E15:E17" si="0">C15*D15</f>
        <v>43.4</v>
      </c>
      <c r="F15" s="234"/>
      <c r="G15" s="2"/>
      <c r="H15" s="2"/>
    </row>
    <row r="16" spans="2:8" ht="15.95" customHeight="1">
      <c r="B16" s="18" t="s">
        <v>22</v>
      </c>
      <c r="C16" s="58">
        <f>Inputs!G21</f>
        <v>200</v>
      </c>
      <c r="D16" s="13">
        <f>Inputs!D32</f>
        <v>0.41</v>
      </c>
      <c r="E16" s="2">
        <f t="shared" si="0"/>
        <v>82</v>
      </c>
      <c r="F16" s="234"/>
      <c r="G16" s="2"/>
      <c r="H16" s="2"/>
    </row>
    <row r="17" spans="2:8" ht="15.95" customHeight="1">
      <c r="B17" s="18" t="s">
        <v>37</v>
      </c>
      <c r="C17" s="58">
        <f>Inputs!G22</f>
        <v>0</v>
      </c>
      <c r="D17" s="13">
        <f>Inputs!E33</f>
        <v>0</v>
      </c>
      <c r="E17" s="2">
        <f t="shared" si="0"/>
        <v>0</v>
      </c>
      <c r="F17" s="240"/>
      <c r="G17" s="2"/>
      <c r="H17" s="2"/>
    </row>
    <row r="18" spans="2:8" ht="15.95" customHeight="1">
      <c r="B18" s="15" t="s">
        <v>38</v>
      </c>
      <c r="C18" s="58"/>
      <c r="D18" s="13"/>
      <c r="E18" s="2"/>
      <c r="F18" s="234">
        <f>Inputs!G34</f>
        <v>62.490156249999998</v>
      </c>
      <c r="G18" s="2"/>
      <c r="H18" s="2"/>
    </row>
    <row r="19" spans="2:8" ht="15.95" customHeight="1">
      <c r="B19" s="15" t="s">
        <v>767</v>
      </c>
      <c r="C19" s="2"/>
      <c r="D19" s="13"/>
      <c r="E19" s="239"/>
      <c r="F19" s="180">
        <v>15</v>
      </c>
      <c r="G19" s="2"/>
      <c r="H19" s="2"/>
    </row>
    <row r="20" spans="2:8" ht="15.95" customHeight="1">
      <c r="B20" s="15" t="s">
        <v>39</v>
      </c>
      <c r="C20" s="2"/>
      <c r="D20" s="13"/>
      <c r="E20" s="239"/>
      <c r="F20" s="180">
        <v>0</v>
      </c>
      <c r="G20" s="2"/>
      <c r="H20" s="2"/>
    </row>
    <row r="21" spans="2:8" ht="15.95" customHeight="1">
      <c r="B21" s="15" t="s">
        <v>40</v>
      </c>
      <c r="C21" s="2"/>
      <c r="D21" s="13"/>
      <c r="E21" s="239"/>
      <c r="F21" s="153">
        <f>H60</f>
        <v>162.54</v>
      </c>
      <c r="G21" s="2"/>
      <c r="H21" s="2"/>
    </row>
    <row r="22" spans="2:8" ht="15.95" customHeight="1">
      <c r="B22" s="15" t="s">
        <v>743</v>
      </c>
      <c r="C22" s="2">
        <f>D71</f>
        <v>6.3540318910256399</v>
      </c>
      <c r="D22" s="13">
        <f>Inputs!D29</f>
        <v>4</v>
      </c>
      <c r="E22" s="2"/>
      <c r="F22" s="153">
        <f>C22*D22</f>
        <v>25.41612756410256</v>
      </c>
      <c r="G22" s="2"/>
      <c r="H22" s="2"/>
    </row>
    <row r="23" spans="2:8" ht="15.95" customHeight="1">
      <c r="B23" s="15" t="s">
        <v>41</v>
      </c>
      <c r="D23" s="13"/>
      <c r="E23" s="2"/>
      <c r="F23" s="153">
        <f>E71-F22-(C71*H51)</f>
        <v>53.029426325593505</v>
      </c>
      <c r="G23" s="2"/>
      <c r="H23" s="2"/>
    </row>
    <row r="24" spans="2:8" ht="15.95" customHeight="1">
      <c r="B24" s="15" t="s">
        <v>42</v>
      </c>
      <c r="C24" s="2">
        <f>C71+Inputs!G23</f>
        <v>1.6605339003944772</v>
      </c>
      <c r="D24" s="13">
        <f>Inputs!D28</f>
        <v>17.309999999999999</v>
      </c>
      <c r="E24" s="2"/>
      <c r="F24" s="153">
        <f>D24*C24</f>
        <v>28.7438418158284</v>
      </c>
      <c r="G24" s="2"/>
      <c r="H24" s="2"/>
    </row>
    <row r="25" spans="2:8" ht="15.95" customHeight="1">
      <c r="B25" s="15" t="s">
        <v>43</v>
      </c>
      <c r="C25" s="2"/>
      <c r="D25" s="13"/>
      <c r="E25" s="239"/>
      <c r="F25" s="180">
        <v>0</v>
      </c>
      <c r="G25" s="2"/>
      <c r="H25" s="2"/>
    </row>
    <row r="26" spans="2:8" ht="15.95" customHeight="1">
      <c r="B26" s="15" t="s">
        <v>24</v>
      </c>
      <c r="C26" s="2">
        <f>SUM(F12:F25)/2</f>
        <v>236.3097759777622</v>
      </c>
      <c r="D26" s="205">
        <f>Inputs!D24</f>
        <v>0.09</v>
      </c>
      <c r="F26" s="206">
        <f>D26*C26</f>
        <v>21.267879837998596</v>
      </c>
      <c r="G26" s="2"/>
      <c r="H26" s="2"/>
    </row>
    <row r="27" spans="2:8" ht="15.95" customHeight="1">
      <c r="B27" s="43" t="s">
        <v>471</v>
      </c>
      <c r="C27" s="17"/>
      <c r="D27" s="16"/>
      <c r="E27" s="2"/>
      <c r="F27" s="152">
        <f>SUM(F12:F26)</f>
        <v>493.88743179352298</v>
      </c>
      <c r="G27" s="2"/>
      <c r="H27" s="2"/>
    </row>
    <row r="28" spans="2:8" ht="15.95" customHeight="1">
      <c r="B28" s="5"/>
      <c r="C28" s="17"/>
      <c r="D28" s="16"/>
      <c r="E28" s="2"/>
      <c r="F28" s="179"/>
      <c r="G28" s="2"/>
      <c r="H28" s="2"/>
    </row>
    <row r="29" spans="2:8" ht="15.95" customHeight="1">
      <c r="B29" s="52" t="s">
        <v>770</v>
      </c>
      <c r="C29" s="17"/>
      <c r="D29" s="16"/>
      <c r="E29" s="2"/>
      <c r="F29" s="153"/>
      <c r="G29" s="14"/>
      <c r="H29" s="14"/>
    </row>
    <row r="30" spans="2:8" ht="15.95" customHeight="1">
      <c r="B30" s="15" t="s">
        <v>28</v>
      </c>
      <c r="C30" s="207"/>
      <c r="D30" s="16"/>
      <c r="E30" s="2"/>
      <c r="F30" s="234">
        <f>Inputs!G37</f>
        <v>21.66</v>
      </c>
      <c r="G30" s="4"/>
      <c r="H30" s="4"/>
    </row>
    <row r="31" spans="2:8" ht="15.95" customHeight="1">
      <c r="B31" s="15" t="s">
        <v>749</v>
      </c>
      <c r="C31" s="17"/>
      <c r="D31" s="16"/>
      <c r="E31" s="2"/>
      <c r="F31" s="234">
        <f>F71</f>
        <v>100.51442189018999</v>
      </c>
      <c r="G31" s="2"/>
      <c r="H31" s="2"/>
    </row>
    <row r="32" spans="2:8" ht="15.95" customHeight="1">
      <c r="B32" s="15" t="s">
        <v>44</v>
      </c>
      <c r="C32" s="17"/>
      <c r="D32" s="16"/>
      <c r="E32" s="2"/>
      <c r="F32" s="230">
        <f>Inputs!F38</f>
        <v>120.71654367273331</v>
      </c>
      <c r="G32" s="2"/>
      <c r="H32" s="2"/>
    </row>
    <row r="33" spans="2:8" ht="15.95" customHeight="1">
      <c r="B33" s="43" t="s">
        <v>472</v>
      </c>
      <c r="C33" s="17"/>
      <c r="D33" s="16"/>
      <c r="E33" s="2"/>
      <c r="F33" s="152">
        <f>SUM(F30:F32)</f>
        <v>242.8909655629233</v>
      </c>
      <c r="G33" s="2"/>
      <c r="H33" s="2"/>
    </row>
    <row r="34" spans="2:8" ht="15.95" customHeight="1">
      <c r="B34" s="5"/>
      <c r="C34" s="17"/>
      <c r="D34" s="16"/>
      <c r="E34" s="2"/>
      <c r="F34" s="153"/>
      <c r="G34" s="2"/>
      <c r="H34" s="2"/>
    </row>
    <row r="35" spans="2:8" ht="15.95" customHeight="1">
      <c r="B35" s="48" t="s">
        <v>473</v>
      </c>
      <c r="C35" s="241"/>
      <c r="D35" s="242"/>
      <c r="E35" s="19"/>
      <c r="F35" s="154">
        <f>F27+F33</f>
        <v>736.77839735644625</v>
      </c>
      <c r="G35" s="14"/>
      <c r="H35" s="14"/>
    </row>
    <row r="36" spans="2:8" ht="15.95" customHeight="1">
      <c r="B36" s="5"/>
      <c r="C36" s="17"/>
      <c r="D36" s="16"/>
      <c r="E36" s="2"/>
      <c r="F36" s="153"/>
      <c r="G36" s="2"/>
      <c r="H36" s="2"/>
    </row>
    <row r="37" spans="2:8" ht="15.95" customHeight="1">
      <c r="B37" s="42" t="s">
        <v>768</v>
      </c>
      <c r="C37" s="2"/>
      <c r="D37" s="13"/>
      <c r="E37" s="2"/>
      <c r="F37" s="152">
        <f>F9-F27</f>
        <v>521.31256820647695</v>
      </c>
      <c r="G37" s="14"/>
      <c r="H37" s="14"/>
    </row>
    <row r="38" spans="2:8" ht="15.95" customHeight="1">
      <c r="B38" s="42" t="s">
        <v>769</v>
      </c>
      <c r="C38" s="2"/>
      <c r="D38" s="13"/>
      <c r="E38" s="2"/>
      <c r="F38" s="152">
        <f>F9-F35</f>
        <v>278.42160264355368</v>
      </c>
      <c r="G38" s="4"/>
      <c r="H38" s="2"/>
    </row>
    <row r="39" spans="2:8" ht="15.95" customHeight="1">
      <c r="B39" s="210"/>
      <c r="C39" s="10"/>
      <c r="D39" s="19"/>
      <c r="E39" s="10"/>
      <c r="F39" s="230"/>
      <c r="G39" s="2"/>
      <c r="H39" s="2"/>
    </row>
    <row r="40" spans="2:8" ht="15.95" customHeight="1">
      <c r="B40" s="5"/>
      <c r="C40" s="2"/>
      <c r="D40" s="2" t="s">
        <v>367</v>
      </c>
      <c r="E40" s="2"/>
      <c r="F40" s="234">
        <f>F27/D7</f>
        <v>54.876381310391444</v>
      </c>
      <c r="G40" s="2"/>
      <c r="H40" s="2"/>
    </row>
    <row r="41" spans="2:8" ht="15.95" customHeight="1">
      <c r="B41" s="5"/>
      <c r="C41" s="2"/>
      <c r="D41" s="2" t="s">
        <v>368</v>
      </c>
      <c r="E41" s="2"/>
      <c r="F41" s="234">
        <f>F33/D7</f>
        <v>26.987885062547033</v>
      </c>
      <c r="G41" s="4"/>
      <c r="H41" s="4"/>
    </row>
    <row r="42" spans="2:8" ht="15.95" customHeight="1" thickBot="1">
      <c r="B42" s="20"/>
      <c r="C42" s="21"/>
      <c r="D42" s="21" t="s">
        <v>369</v>
      </c>
      <c r="E42" s="21"/>
      <c r="F42" s="235">
        <f>F35/D7</f>
        <v>81.864266372938474</v>
      </c>
      <c r="G42" s="2"/>
      <c r="H42" s="2"/>
    </row>
    <row r="43" spans="2:8" ht="15.95" customHeight="1">
      <c r="B43" s="4"/>
      <c r="C43" s="2"/>
      <c r="D43" s="13"/>
      <c r="E43" s="2"/>
      <c r="F43" s="4"/>
      <c r="G43" s="2"/>
      <c r="H43" s="2"/>
    </row>
    <row r="44" spans="2:8">
      <c r="B44" s="4"/>
      <c r="C44" s="2"/>
      <c r="D44" s="13"/>
      <c r="E44" s="2"/>
      <c r="F44" s="4"/>
      <c r="G44" s="2"/>
      <c r="H44" s="2"/>
    </row>
    <row r="45" spans="2:8">
      <c r="B45" s="49"/>
      <c r="C45" s="26"/>
      <c r="D45" s="165"/>
      <c r="E45" s="25"/>
      <c r="F45" s="25"/>
      <c r="G45" s="25"/>
      <c r="H45" s="49"/>
    </row>
    <row r="46" spans="2:8">
      <c r="B46" s="212" t="s">
        <v>378</v>
      </c>
      <c r="C46" s="213" t="s">
        <v>779</v>
      </c>
      <c r="D46" s="214"/>
      <c r="E46" s="212" t="s">
        <v>386</v>
      </c>
      <c r="F46" s="212"/>
      <c r="G46" s="215"/>
      <c r="H46" s="213" t="s">
        <v>399</v>
      </c>
    </row>
    <row r="47" spans="2:8">
      <c r="B47" s="49" t="s">
        <v>400</v>
      </c>
      <c r="C47" s="49">
        <f>D7</f>
        <v>9</v>
      </c>
      <c r="D47" s="49"/>
      <c r="E47" s="49" t="s">
        <v>401</v>
      </c>
      <c r="F47" s="49"/>
      <c r="G47" s="49"/>
      <c r="H47" s="171">
        <f>E7</f>
        <v>112.8</v>
      </c>
    </row>
    <row r="48" spans="2:8">
      <c r="B48" s="49" t="s">
        <v>381</v>
      </c>
      <c r="C48" s="168">
        <f>C15</f>
        <v>70</v>
      </c>
      <c r="D48" s="49"/>
      <c r="E48" s="49" t="s">
        <v>402</v>
      </c>
      <c r="F48" s="49"/>
      <c r="G48" s="49"/>
      <c r="H48" s="171">
        <f>D15</f>
        <v>0.62</v>
      </c>
    </row>
    <row r="49" spans="2:8">
      <c r="B49" s="49" t="s">
        <v>382</v>
      </c>
      <c r="C49" s="168">
        <f>C16</f>
        <v>200</v>
      </c>
      <c r="D49" s="49"/>
      <c r="E49" s="49" t="s">
        <v>390</v>
      </c>
      <c r="F49" s="49"/>
      <c r="G49" s="49"/>
      <c r="H49" s="171">
        <f>D16</f>
        <v>0.41</v>
      </c>
    </row>
    <row r="50" spans="2:8">
      <c r="B50" s="49" t="s">
        <v>383</v>
      </c>
      <c r="C50" s="168">
        <f>C17</f>
        <v>0</v>
      </c>
      <c r="D50" s="49"/>
      <c r="E50" s="49" t="s">
        <v>391</v>
      </c>
      <c r="F50" s="49"/>
      <c r="G50" s="49"/>
      <c r="H50" s="171">
        <f>D17</f>
        <v>0</v>
      </c>
    </row>
    <row r="51" spans="2:8">
      <c r="B51" s="49" t="s">
        <v>384</v>
      </c>
      <c r="C51" s="169">
        <f>C24</f>
        <v>1.6605339003944772</v>
      </c>
      <c r="D51" s="49"/>
      <c r="E51" s="49" t="s">
        <v>802</v>
      </c>
      <c r="F51" s="49"/>
      <c r="G51" s="49"/>
      <c r="H51" s="171">
        <f>Inputs!D28</f>
        <v>17.309999999999999</v>
      </c>
    </row>
    <row r="52" spans="2:8">
      <c r="B52" s="49" t="s">
        <v>385</v>
      </c>
      <c r="C52" s="247">
        <f>D26</f>
        <v>0.09</v>
      </c>
      <c r="D52" s="49"/>
      <c r="E52" s="49" t="s">
        <v>392</v>
      </c>
      <c r="F52" s="49"/>
      <c r="G52" s="49"/>
      <c r="H52" s="171">
        <f>Inputs!D29</f>
        <v>4</v>
      </c>
    </row>
    <row r="53" spans="2:8">
      <c r="B53" s="49"/>
      <c r="C53" s="49"/>
      <c r="D53" s="49"/>
      <c r="E53" s="49"/>
      <c r="F53" s="49"/>
      <c r="G53" s="49"/>
      <c r="H53" s="171"/>
    </row>
    <row r="54" spans="2:8">
      <c r="B54" s="49"/>
      <c r="C54" s="49"/>
      <c r="D54" s="49"/>
      <c r="E54" s="49"/>
      <c r="F54" s="49"/>
      <c r="G54" s="49"/>
      <c r="H54" s="49"/>
    </row>
    <row r="55" spans="2:8">
      <c r="B55" s="49" t="s">
        <v>751</v>
      </c>
      <c r="C55" s="160" t="s">
        <v>756</v>
      </c>
      <c r="D55" s="49"/>
      <c r="E55" s="49"/>
      <c r="F55" s="49"/>
      <c r="G55" s="49"/>
      <c r="H55" s="49"/>
    </row>
    <row r="56" spans="2:8">
      <c r="B56" s="312" t="s">
        <v>752</v>
      </c>
      <c r="C56" s="312"/>
      <c r="D56" s="138" t="s">
        <v>698</v>
      </c>
      <c r="E56" s="174" t="s">
        <v>742</v>
      </c>
      <c r="F56" s="137" t="s">
        <v>753</v>
      </c>
      <c r="G56" s="137" t="s">
        <v>754</v>
      </c>
      <c r="H56" s="137" t="s">
        <v>755</v>
      </c>
    </row>
    <row r="57" spans="2:8">
      <c r="B57" s="313" t="str">
        <f>'Custom Hire'!B12</f>
        <v xml:space="preserve">Apply dry fertilizer on cropland, single spread </v>
      </c>
      <c r="C57" s="313"/>
      <c r="D57" s="218">
        <f>'Custom Hire'!E12</f>
        <v>2</v>
      </c>
      <c r="E57" s="144">
        <f>'Custom Hire'!C12</f>
        <v>7.02</v>
      </c>
      <c r="F57" s="145" t="str">
        <f>'Custom Hire'!D12</f>
        <v>per acre</v>
      </c>
      <c r="G57" s="145" t="str">
        <f>IF(F57="per acre","",IF(F57="per bale",$D$7*2000/Inputs!$G$25,$D$7))</f>
        <v/>
      </c>
      <c r="H57" s="146">
        <f>E57*MAX(D57,G57)</f>
        <v>14.04</v>
      </c>
    </row>
    <row r="58" spans="2:8">
      <c r="B58" s="314" t="str">
        <f>'Custom Hire'!B13</f>
        <v>Move round (or large square) bales locally</v>
      </c>
      <c r="C58" s="314"/>
      <c r="D58" s="243">
        <f>'Custom Hire'!E13</f>
        <v>0</v>
      </c>
      <c r="E58" s="146">
        <f>'Custom Hire'!C13</f>
        <v>6.5</v>
      </c>
      <c r="F58" s="49" t="str">
        <f>'Custom Hire'!D13</f>
        <v>per bale</v>
      </c>
      <c r="G58" s="49">
        <f>IF(F58="per acre","",IF(F58="per bale",$D$7*2000/Inputs!$G$25,$D$7))</f>
        <v>9</v>
      </c>
      <c r="H58" s="146">
        <f t="shared" ref="H58:H59" si="1">E58*MAX(D58,G58)</f>
        <v>58.5</v>
      </c>
    </row>
    <row r="59" spans="2:8">
      <c r="B59" s="312" t="str">
        <f>'Custom Hire'!B14</f>
        <v>Tube wrap round bales, with wrap</v>
      </c>
      <c r="C59" s="312"/>
      <c r="D59" s="220">
        <f>'Custom Hire'!E14</f>
        <v>0</v>
      </c>
      <c r="E59" s="147">
        <f>'Custom Hire'!C14</f>
        <v>10</v>
      </c>
      <c r="F59" s="137" t="str">
        <f>'Custom Hire'!D14</f>
        <v>per bale</v>
      </c>
      <c r="G59" s="137">
        <f>IF(F59="per acre","",IF(F59="per bale",$D$7*2000/Inputs!$G$25,$D$7))</f>
        <v>9</v>
      </c>
      <c r="H59" s="147">
        <f t="shared" si="1"/>
        <v>90</v>
      </c>
    </row>
    <row r="60" spans="2:8">
      <c r="B60" s="45" t="s">
        <v>468</v>
      </c>
      <c r="C60" s="139"/>
      <c r="D60" s="140"/>
      <c r="E60" s="139"/>
      <c r="F60" s="139"/>
      <c r="G60" s="139"/>
      <c r="H60" s="146">
        <f>SUM(H57:H59)</f>
        <v>162.54</v>
      </c>
    </row>
    <row r="61" spans="2:8">
      <c r="B61" s="49"/>
      <c r="C61" s="49"/>
      <c r="D61" s="49"/>
      <c r="E61" s="49"/>
      <c r="F61" s="49"/>
      <c r="G61" s="49"/>
      <c r="H61" s="49"/>
    </row>
    <row r="62" spans="2:8">
      <c r="B62" s="49" t="s">
        <v>772</v>
      </c>
      <c r="C62" s="160" t="s">
        <v>704</v>
      </c>
      <c r="D62" s="30"/>
      <c r="E62" s="30"/>
      <c r="F62" s="30"/>
      <c r="G62" s="30"/>
      <c r="H62" s="29"/>
    </row>
    <row r="63" spans="2:8">
      <c r="B63" s="25"/>
      <c r="C63" s="26" t="s">
        <v>394</v>
      </c>
      <c r="D63" s="26" t="s">
        <v>395</v>
      </c>
      <c r="E63" s="26" t="s">
        <v>422</v>
      </c>
      <c r="F63" s="26" t="s">
        <v>423</v>
      </c>
      <c r="G63" s="26" t="s">
        <v>698</v>
      </c>
      <c r="H63" s="26" t="s">
        <v>424</v>
      </c>
    </row>
    <row r="64" spans="2:8">
      <c r="B64" s="25"/>
      <c r="C64" s="26" t="s">
        <v>425</v>
      </c>
      <c r="D64" s="26" t="s">
        <v>426</v>
      </c>
      <c r="E64" s="26" t="s">
        <v>720</v>
      </c>
      <c r="F64" s="26" t="s">
        <v>433</v>
      </c>
      <c r="G64" s="26" t="s">
        <v>396</v>
      </c>
      <c r="H64" s="26" t="s">
        <v>427</v>
      </c>
    </row>
    <row r="65" spans="1:8">
      <c r="B65" s="27" t="s">
        <v>397</v>
      </c>
      <c r="C65" s="28" t="s">
        <v>398</v>
      </c>
      <c r="D65" s="28" t="s">
        <v>398</v>
      </c>
      <c r="E65" s="28" t="s">
        <v>428</v>
      </c>
      <c r="F65" s="28" t="s">
        <v>428</v>
      </c>
      <c r="G65" s="28" t="s">
        <v>398</v>
      </c>
      <c r="H65" s="28" t="s">
        <v>721</v>
      </c>
    </row>
    <row r="66" spans="1:8">
      <c r="B66" s="161" t="str">
        <f>CONCATENATE(Equipment!B23," - ",Equipment!C23)</f>
        <v>Boom sprayer - pull-type, 90 Ft Folding - 130 HP MFWD</v>
      </c>
      <c r="C66" s="130">
        <f>Equipment!E23</f>
        <v>2.7120315581854043E-2</v>
      </c>
      <c r="D66" s="130">
        <f>Equipment!D23</f>
        <v>0.13651282051282052</v>
      </c>
      <c r="E66" s="130">
        <f>Equipment!F23</f>
        <v>1.4904592175966394</v>
      </c>
      <c r="F66" s="130">
        <f>Equipment!G23</f>
        <v>5.1936276705683708</v>
      </c>
      <c r="G66" s="131">
        <f>Equipment!H23</f>
        <v>2</v>
      </c>
      <c r="H66" s="130">
        <f>Equipment!I23</f>
        <v>13.368173776330021</v>
      </c>
    </row>
    <row r="67" spans="1:8" s="244" customFormat="1">
      <c r="A67" s="1"/>
      <c r="B67" s="161" t="str">
        <f>CONCATENATE(Equipment!B24," - ",Equipment!C24)</f>
        <v>Disk mower/conditioner, 12 Ft - 130 HP MFWD</v>
      </c>
      <c r="C67" s="26">
        <f>Equipment!E24</f>
        <v>0.13882211538461536</v>
      </c>
      <c r="D67" s="26">
        <f>Equipment!D24</f>
        <v>0.83187499999999981</v>
      </c>
      <c r="E67" s="26">
        <f>Equipment!F24</f>
        <v>7.397874599358973</v>
      </c>
      <c r="F67" s="26">
        <f>Equipment!G24</f>
        <v>11.79143688110536</v>
      </c>
      <c r="G67" s="132">
        <f>Equipment!H24</f>
        <v>4</v>
      </c>
      <c r="H67" s="26">
        <f>Equipment!I24</f>
        <v>76.757245921857333</v>
      </c>
    </row>
    <row r="68" spans="1:8" s="22" customFormat="1">
      <c r="B68" s="161" t="str">
        <f>CONCATENATE(Equipment!B25," - ",Equipment!C25)</f>
        <v>Hay rake, 30 Ft Folding - 75 HP TWD</v>
      </c>
      <c r="C68" s="26">
        <f>Equipment!E25</f>
        <v>4.3828125000000002E-2</v>
      </c>
      <c r="D68" s="26">
        <f>Equipment!D25</f>
        <v>0.1559765625</v>
      </c>
      <c r="E68" s="26">
        <f>Equipment!F25</f>
        <v>1.6381674096977312</v>
      </c>
      <c r="F68" s="26">
        <f>Equipment!G25</f>
        <v>1.6794004194562353</v>
      </c>
      <c r="G68" s="132">
        <f>Equipment!H25</f>
        <v>4</v>
      </c>
      <c r="H68" s="26">
        <f>Equipment!I25</f>
        <v>13.270271316615865</v>
      </c>
    </row>
    <row r="69" spans="1:8">
      <c r="B69" s="161" t="str">
        <f>CONCATENATE(Equipment!B26," - ",Equipment!C26)</f>
        <v>Round baler w/net wrap, 30 Ft - 130 HP MFWD</v>
      </c>
      <c r="C69" s="26">
        <f>Equipment!E26</f>
        <v>9.3923076923076942E-2</v>
      </c>
      <c r="D69" s="26">
        <f>Equipment!D26</f>
        <v>0.53239999999999998</v>
      </c>
      <c r="E69" s="26">
        <f>Equipment!F26</f>
        <v>13.102327308526096</v>
      </c>
      <c r="F69" s="26">
        <f>Equipment!G26</f>
        <v>7.3109543367017178</v>
      </c>
      <c r="G69" s="132">
        <f>Equipment!H26</f>
        <v>4</v>
      </c>
      <c r="H69" s="26">
        <f>Equipment!I26</f>
        <v>81.653126580911248</v>
      </c>
    </row>
    <row r="70" spans="1:8">
      <c r="B70" s="162" t="str">
        <f>Equipment!B29</f>
        <v>Pickup truck</v>
      </c>
      <c r="C70" s="28"/>
      <c r="D70" s="28"/>
      <c r="E70" s="28">
        <f>Equipment!F29</f>
        <v>7</v>
      </c>
      <c r="F70" s="28">
        <f>Equipment!G29</f>
        <v>7</v>
      </c>
      <c r="G70" s="133"/>
      <c r="H70" s="28">
        <f>Equipment!I29</f>
        <v>14</v>
      </c>
    </row>
    <row r="71" spans="1:8">
      <c r="B71" s="26" t="s">
        <v>468</v>
      </c>
      <c r="C71" s="26">
        <f>SUMPRODUCT(C66:C69,$G$66:$G$69)</f>
        <v>1.1605339003944772</v>
      </c>
      <c r="D71" s="26">
        <f>SUMPRODUCT(D66:D69,$G$66:$G$69)</f>
        <v>6.3540318910256399</v>
      </c>
      <c r="E71" s="26">
        <f>SUMPRODUCT(E66:E69,$G$66:$G$69)+E70</f>
        <v>98.534395705524474</v>
      </c>
      <c r="F71" s="26">
        <f>SUMPRODUCT(F66:F69,$G$66:$G$69)+F70</f>
        <v>100.51442189018999</v>
      </c>
      <c r="G71" s="132">
        <f>SUM(G66:G70)</f>
        <v>14</v>
      </c>
      <c r="H71" s="26">
        <f>SUM(H66:H70)</f>
        <v>199.04881759571447</v>
      </c>
    </row>
    <row r="72" spans="1:8">
      <c r="B72" s="49" t="s">
        <v>776</v>
      </c>
      <c r="C72" s="49"/>
      <c r="D72" s="49"/>
      <c r="E72" s="49"/>
      <c r="F72" s="49"/>
      <c r="G72" s="49"/>
      <c r="H72" s="139"/>
    </row>
    <row r="73" spans="1:8">
      <c r="B73" s="49" t="s">
        <v>777</v>
      </c>
      <c r="C73" s="49"/>
      <c r="D73" s="49"/>
      <c r="E73" s="49"/>
      <c r="F73" s="49"/>
      <c r="G73" s="49"/>
      <c r="H73" s="169">
        <f>H71+H60</f>
        <v>361.58881759571443</v>
      </c>
    </row>
    <row r="74" spans="1:8">
      <c r="B74" s="49" t="s">
        <v>778</v>
      </c>
      <c r="C74" s="49"/>
      <c r="D74" s="49"/>
      <c r="E74" s="49"/>
      <c r="F74" s="49"/>
      <c r="G74" s="49"/>
      <c r="H74" s="49"/>
    </row>
    <row r="75" spans="1:8">
      <c r="B75" s="49"/>
      <c r="C75" s="49"/>
      <c r="D75" s="49"/>
      <c r="E75" s="49"/>
      <c r="F75" s="49"/>
      <c r="G75" s="49"/>
      <c r="H75" s="49"/>
    </row>
    <row r="76" spans="1:8">
      <c r="B76" s="49" t="s">
        <v>725</v>
      </c>
      <c r="C76" s="49"/>
      <c r="D76" s="49"/>
      <c r="E76" s="49"/>
      <c r="F76" s="49"/>
      <c r="G76" s="49"/>
      <c r="H76" s="49"/>
    </row>
    <row r="77" spans="1:8">
      <c r="B77" s="49" t="s">
        <v>726</v>
      </c>
      <c r="C77" s="49"/>
      <c r="D77" s="49"/>
      <c r="E77" s="49"/>
      <c r="F77" s="49"/>
      <c r="G77" s="49"/>
      <c r="H77" s="49"/>
    </row>
    <row r="78" spans="1:8">
      <c r="B78" s="49" t="s">
        <v>727</v>
      </c>
      <c r="C78" s="49"/>
      <c r="D78" s="49"/>
      <c r="E78" s="49"/>
      <c r="F78" s="49"/>
      <c r="G78" s="49"/>
      <c r="H78" s="49"/>
    </row>
    <row r="79" spans="1:8">
      <c r="B79" s="49" t="s">
        <v>728</v>
      </c>
      <c r="C79" s="49"/>
      <c r="D79" s="49"/>
      <c r="E79" s="49"/>
      <c r="F79" s="49"/>
      <c r="G79" s="49"/>
      <c r="H79" s="49"/>
    </row>
    <row r="773" spans="2:3" hidden="1">
      <c r="B773" s="1" t="s">
        <v>48</v>
      </c>
      <c r="C773" s="1">
        <v>6</v>
      </c>
    </row>
    <row r="774" spans="2:3" hidden="1">
      <c r="B774" s="1" t="s">
        <v>49</v>
      </c>
      <c r="C774" s="1">
        <v>1</v>
      </c>
    </row>
    <row r="775" spans="2:3" hidden="1">
      <c r="B775" s="1" t="s">
        <v>50</v>
      </c>
      <c r="C775" s="1">
        <v>1</v>
      </c>
    </row>
    <row r="776" spans="2:3" hidden="1">
      <c r="B776" s="1" t="s">
        <v>51</v>
      </c>
      <c r="C776" s="1">
        <v>2</v>
      </c>
    </row>
    <row r="777" spans="2:3" hidden="1">
      <c r="B777" s="1" t="s">
        <v>52</v>
      </c>
      <c r="C777" s="1">
        <v>1</v>
      </c>
    </row>
    <row r="778" spans="2:3" hidden="1">
      <c r="B778" s="1" t="s">
        <v>53</v>
      </c>
      <c r="C778" s="1">
        <v>0</v>
      </c>
    </row>
    <row r="779" spans="2:3" hidden="1">
      <c r="B779" s="1" t="s">
        <v>54</v>
      </c>
      <c r="C779" s="1">
        <v>0</v>
      </c>
    </row>
    <row r="780" spans="2:3" hidden="1">
      <c r="B780" s="1" t="s">
        <v>55</v>
      </c>
      <c r="C780" s="1">
        <v>0</v>
      </c>
    </row>
    <row r="781" spans="2:3" hidden="1">
      <c r="B781" s="1" t="s">
        <v>56</v>
      </c>
      <c r="C781" s="1">
        <v>0</v>
      </c>
    </row>
    <row r="782" spans="2:3" hidden="1">
      <c r="B782" s="1" t="s">
        <v>57</v>
      </c>
      <c r="C782" s="1">
        <v>0</v>
      </c>
    </row>
    <row r="783" spans="2:3" hidden="1">
      <c r="B783" s="1" t="s">
        <v>58</v>
      </c>
      <c r="C783" s="1">
        <v>0</v>
      </c>
    </row>
    <row r="784" spans="2:3" hidden="1">
      <c r="B784" s="1" t="s">
        <v>59</v>
      </c>
      <c r="C784" s="1" t="b">
        <v>1</v>
      </c>
    </row>
    <row r="785" spans="2:3" hidden="1">
      <c r="B785" s="1" t="s">
        <v>60</v>
      </c>
      <c r="C785" s="1">
        <v>0</v>
      </c>
    </row>
    <row r="786" spans="2:3" hidden="1">
      <c r="B786" s="1" t="s">
        <v>61</v>
      </c>
      <c r="C786" s="1" t="b">
        <v>1</v>
      </c>
    </row>
    <row r="787" spans="2:3" hidden="1">
      <c r="B787" s="1" t="s">
        <v>62</v>
      </c>
      <c r="C787" s="1">
        <v>0</v>
      </c>
    </row>
    <row r="788" spans="2:3" hidden="1">
      <c r="B788" s="1" t="s">
        <v>63</v>
      </c>
      <c r="C788" s="1">
        <v>0</v>
      </c>
    </row>
    <row r="789" spans="2:3" hidden="1">
      <c r="B789" s="1" t="s">
        <v>64</v>
      </c>
      <c r="C789" s="1">
        <v>0</v>
      </c>
    </row>
    <row r="790" spans="2:3" hidden="1">
      <c r="B790" s="1" t="s">
        <v>65</v>
      </c>
      <c r="C790" s="1">
        <v>0</v>
      </c>
    </row>
    <row r="791" spans="2:3" hidden="1">
      <c r="B791" s="1" t="s">
        <v>66</v>
      </c>
      <c r="C791" s="1">
        <v>0</v>
      </c>
    </row>
    <row r="792" spans="2:3" hidden="1">
      <c r="B792" s="1" t="s">
        <v>67</v>
      </c>
      <c r="C792" s="1">
        <v>0</v>
      </c>
    </row>
    <row r="793" spans="2:3" hidden="1">
      <c r="B793" s="1" t="s">
        <v>68</v>
      </c>
      <c r="C793" s="1">
        <v>0</v>
      </c>
    </row>
    <row r="794" spans="2:3" hidden="1">
      <c r="B794" s="1" t="s">
        <v>69</v>
      </c>
      <c r="C794" s="1" t="s">
        <v>71</v>
      </c>
    </row>
    <row r="795" spans="2:3" hidden="1">
      <c r="B795" s="1" t="s">
        <v>70</v>
      </c>
      <c r="C795" s="1">
        <v>100</v>
      </c>
    </row>
    <row r="796" spans="2:3" hidden="1">
      <c r="B796" s="1" t="s">
        <v>72</v>
      </c>
      <c r="C796" s="1">
        <v>55</v>
      </c>
    </row>
    <row r="797" spans="2:3" hidden="1">
      <c r="B797" s="1" t="s">
        <v>73</v>
      </c>
      <c r="C797" s="1">
        <v>5.3</v>
      </c>
    </row>
    <row r="798" spans="2:3" hidden="1">
      <c r="B798" s="1" t="s">
        <v>74</v>
      </c>
      <c r="C798" s="1">
        <v>0</v>
      </c>
    </row>
    <row r="799" spans="2:3" hidden="1">
      <c r="B799" s="1" t="s">
        <v>75</v>
      </c>
      <c r="C799" s="1">
        <v>0</v>
      </c>
    </row>
    <row r="800" spans="2:3" hidden="1">
      <c r="B800" s="1" t="s">
        <v>76</v>
      </c>
      <c r="C800" s="1">
        <v>0</v>
      </c>
    </row>
    <row r="801" spans="2:3" hidden="1">
      <c r="B801" s="1" t="s">
        <v>77</v>
      </c>
      <c r="C801" s="1">
        <v>0</v>
      </c>
    </row>
    <row r="802" spans="2:3" hidden="1">
      <c r="B802" s="1" t="s">
        <v>78</v>
      </c>
      <c r="C802" s="1">
        <v>0</v>
      </c>
    </row>
    <row r="803" spans="2:3" hidden="1">
      <c r="B803" s="1" t="s">
        <v>79</v>
      </c>
      <c r="C803" s="1">
        <v>0</v>
      </c>
    </row>
    <row r="804" spans="2:3" hidden="1">
      <c r="B804" s="1" t="s">
        <v>80</v>
      </c>
      <c r="C804" s="1">
        <v>0</v>
      </c>
    </row>
    <row r="805" spans="2:3" hidden="1">
      <c r="B805" s="1" t="s">
        <v>81</v>
      </c>
      <c r="C805" s="1">
        <v>18</v>
      </c>
    </row>
    <row r="806" spans="2:3" hidden="1">
      <c r="B806" s="1" t="s">
        <v>82</v>
      </c>
      <c r="C806" s="1">
        <v>0</v>
      </c>
    </row>
    <row r="807" spans="2:3" hidden="1">
      <c r="B807" s="1" t="s">
        <v>83</v>
      </c>
      <c r="C807" s="1">
        <v>0</v>
      </c>
    </row>
    <row r="808" spans="2:3" hidden="1">
      <c r="B808" s="1" t="s">
        <v>84</v>
      </c>
      <c r="C808" s="1">
        <v>0</v>
      </c>
    </row>
    <row r="809" spans="2:3" hidden="1">
      <c r="B809" s="1" t="s">
        <v>85</v>
      </c>
      <c r="C809" s="1">
        <v>0</v>
      </c>
    </row>
    <row r="810" spans="2:3" hidden="1">
      <c r="B810" s="1" t="s">
        <v>86</v>
      </c>
      <c r="C810" s="1">
        <v>0</v>
      </c>
    </row>
    <row r="811" spans="2:3" hidden="1">
      <c r="B811" s="1" t="s">
        <v>87</v>
      </c>
      <c r="C811" s="1">
        <v>100</v>
      </c>
    </row>
    <row r="812" spans="2:3" hidden="1">
      <c r="B812" s="1" t="s">
        <v>88</v>
      </c>
      <c r="C812" s="1">
        <v>0</v>
      </c>
    </row>
    <row r="813" spans="2:3" hidden="1">
      <c r="B813" s="1" t="s">
        <v>89</v>
      </c>
      <c r="C813" s="1">
        <v>0</v>
      </c>
    </row>
    <row r="814" spans="2:3" hidden="1">
      <c r="B814" s="1" t="s">
        <v>90</v>
      </c>
      <c r="C814" s="1">
        <v>0</v>
      </c>
    </row>
    <row r="815" spans="2:3" hidden="1">
      <c r="B815" s="1" t="s">
        <v>91</v>
      </c>
      <c r="C815" s="1">
        <v>75</v>
      </c>
    </row>
    <row r="816" spans="2:3" hidden="1">
      <c r="B816" s="1" t="s">
        <v>92</v>
      </c>
      <c r="C816" s="1">
        <v>0</v>
      </c>
    </row>
    <row r="817" spans="2:3" hidden="1">
      <c r="B817" s="1" t="s">
        <v>93</v>
      </c>
      <c r="C817" s="1">
        <v>35</v>
      </c>
    </row>
    <row r="818" spans="2:3" hidden="1">
      <c r="B818" s="1" t="s">
        <v>94</v>
      </c>
      <c r="C818" s="1">
        <v>20</v>
      </c>
    </row>
    <row r="819" spans="2:3" hidden="1">
      <c r="B819" s="1" t="s">
        <v>95</v>
      </c>
      <c r="C819" s="1">
        <v>0.5</v>
      </c>
    </row>
    <row r="820" spans="2:3" hidden="1">
      <c r="B820" s="1" t="s">
        <v>96</v>
      </c>
      <c r="C820" s="1">
        <v>10</v>
      </c>
    </row>
    <row r="821" spans="2:3" hidden="1">
      <c r="B821" s="1" t="s">
        <v>97</v>
      </c>
      <c r="C821" s="1">
        <v>0</v>
      </c>
    </row>
    <row r="822" spans="2:3" hidden="1">
      <c r="B822" s="1" t="s">
        <v>98</v>
      </c>
      <c r="C822" s="1">
        <v>0</v>
      </c>
    </row>
    <row r="823" spans="2:3" hidden="1">
      <c r="B823" s="1" t="s">
        <v>99</v>
      </c>
      <c r="C823" s="1">
        <v>0.53</v>
      </c>
    </row>
    <row r="824" spans="2:3" hidden="1">
      <c r="B824" s="1" t="s">
        <v>100</v>
      </c>
      <c r="C824" s="1">
        <v>0</v>
      </c>
    </row>
    <row r="825" spans="2:3" hidden="1">
      <c r="B825" s="1" t="s">
        <v>101</v>
      </c>
      <c r="C825" s="1">
        <v>0.49</v>
      </c>
    </row>
    <row r="826" spans="2:3" hidden="1">
      <c r="B826" s="1" t="s">
        <v>102</v>
      </c>
      <c r="C826" s="1">
        <v>0.4</v>
      </c>
    </row>
    <row r="827" spans="2:3" hidden="1">
      <c r="B827" s="1" t="s">
        <v>103</v>
      </c>
      <c r="C827" s="1">
        <v>15</v>
      </c>
    </row>
    <row r="828" spans="2:3" hidden="1">
      <c r="B828" s="1" t="s">
        <v>104</v>
      </c>
      <c r="C828" s="1">
        <v>0.55000000000000004</v>
      </c>
    </row>
    <row r="829" spans="2:3" hidden="1">
      <c r="B829" s="1" t="s">
        <v>105</v>
      </c>
      <c r="C829" s="1">
        <v>0</v>
      </c>
    </row>
    <row r="830" spans="2:3" hidden="1">
      <c r="B830" s="1" t="s">
        <v>106</v>
      </c>
      <c r="C830" s="1">
        <v>0</v>
      </c>
    </row>
    <row r="831" spans="2:3" hidden="1">
      <c r="B831" s="1" t="s">
        <v>107</v>
      </c>
      <c r="C831" s="1">
        <v>0</v>
      </c>
    </row>
    <row r="832" spans="2:3" hidden="1">
      <c r="B832" s="1" t="s">
        <v>108</v>
      </c>
      <c r="C832" s="1">
        <v>0</v>
      </c>
    </row>
    <row r="833" spans="2:3" hidden="1">
      <c r="B833" s="1" t="s">
        <v>109</v>
      </c>
      <c r="C833" s="1">
        <v>1</v>
      </c>
    </row>
    <row r="834" spans="2:3" hidden="1">
      <c r="B834" s="1" t="s">
        <v>110</v>
      </c>
      <c r="C834" s="1">
        <v>0</v>
      </c>
    </row>
    <row r="835" spans="2:3" hidden="1">
      <c r="B835" s="1" t="s">
        <v>111</v>
      </c>
      <c r="C835" s="1">
        <v>0</v>
      </c>
    </row>
    <row r="836" spans="2:3" hidden="1">
      <c r="B836" s="1" t="s">
        <v>112</v>
      </c>
      <c r="C836" s="1">
        <v>0</v>
      </c>
    </row>
    <row r="837" spans="2:3" hidden="1">
      <c r="B837" s="1" t="s">
        <v>113</v>
      </c>
      <c r="C837" s="1">
        <v>0</v>
      </c>
    </row>
    <row r="838" spans="2:3" hidden="1">
      <c r="B838" s="1" t="s">
        <v>114</v>
      </c>
      <c r="C838" s="1">
        <v>0</v>
      </c>
    </row>
    <row r="839" spans="2:3" hidden="1">
      <c r="B839" s="1" t="s">
        <v>115</v>
      </c>
      <c r="C839" s="1">
        <v>0</v>
      </c>
    </row>
    <row r="840" spans="2:3" hidden="1">
      <c r="B840" s="1" t="s">
        <v>116</v>
      </c>
      <c r="C840" s="1">
        <v>0</v>
      </c>
    </row>
    <row r="841" spans="2:3" hidden="1">
      <c r="B841" s="1" t="s">
        <v>117</v>
      </c>
      <c r="C841" s="1">
        <v>19.38</v>
      </c>
    </row>
    <row r="842" spans="2:3" hidden="1">
      <c r="B842" s="1" t="s">
        <v>118</v>
      </c>
      <c r="C842" s="1">
        <v>0</v>
      </c>
    </row>
    <row r="843" spans="2:3" hidden="1">
      <c r="B843" s="1" t="s">
        <v>119</v>
      </c>
      <c r="C843" s="1">
        <v>0</v>
      </c>
    </row>
    <row r="844" spans="2:3" hidden="1">
      <c r="B844" s="1" t="s">
        <v>120</v>
      </c>
      <c r="C844" s="1">
        <v>0</v>
      </c>
    </row>
    <row r="845" spans="2:3" hidden="1">
      <c r="B845" s="1" t="s">
        <v>121</v>
      </c>
      <c r="C845" s="1">
        <v>0</v>
      </c>
    </row>
    <row r="846" spans="2:3" hidden="1">
      <c r="B846" s="1" t="s">
        <v>122</v>
      </c>
      <c r="C846" s="1">
        <v>0</v>
      </c>
    </row>
    <row r="847" spans="2:3" hidden="1">
      <c r="B847" s="1" t="s">
        <v>123</v>
      </c>
      <c r="C847" s="1">
        <v>0</v>
      </c>
    </row>
    <row r="848" spans="2:3" hidden="1">
      <c r="B848" s="1" t="s">
        <v>124</v>
      </c>
      <c r="C848" s="1">
        <v>0</v>
      </c>
    </row>
    <row r="849" spans="2:3" hidden="1">
      <c r="B849" s="1" t="s">
        <v>125</v>
      </c>
      <c r="C849" s="1">
        <v>0</v>
      </c>
    </row>
    <row r="850" spans="2:3" hidden="1">
      <c r="B850" s="1" t="s">
        <v>126</v>
      </c>
      <c r="C850" s="1">
        <v>0</v>
      </c>
    </row>
    <row r="851" spans="2:3" hidden="1">
      <c r="B851" s="1" t="s">
        <v>127</v>
      </c>
      <c r="C851" s="1">
        <v>0</v>
      </c>
    </row>
    <row r="852" spans="2:3" hidden="1">
      <c r="B852" s="1" t="s">
        <v>128</v>
      </c>
      <c r="C852" s="1">
        <v>0</v>
      </c>
    </row>
    <row r="853" spans="2:3" hidden="1">
      <c r="B853" s="1" t="s">
        <v>129</v>
      </c>
      <c r="C853" s="1">
        <v>0</v>
      </c>
    </row>
    <row r="854" spans="2:3" hidden="1">
      <c r="B854" s="1" t="s">
        <v>130</v>
      </c>
      <c r="C854" s="1">
        <v>0</v>
      </c>
    </row>
    <row r="855" spans="2:3" hidden="1">
      <c r="B855" s="1" t="s">
        <v>131</v>
      </c>
      <c r="C855" s="1">
        <v>0</v>
      </c>
    </row>
    <row r="856" spans="2:3" hidden="1">
      <c r="B856" s="1" t="s">
        <v>132</v>
      </c>
      <c r="C856" s="1">
        <v>0.5</v>
      </c>
    </row>
    <row r="857" spans="2:3" hidden="1">
      <c r="B857" s="1" t="s">
        <v>133</v>
      </c>
      <c r="C857" s="1">
        <v>13.5</v>
      </c>
    </row>
    <row r="858" spans="2:3" hidden="1">
      <c r="B858" s="1" t="s">
        <v>134</v>
      </c>
      <c r="C858" s="1">
        <v>18</v>
      </c>
    </row>
    <row r="859" spans="2:3" hidden="1">
      <c r="B859" s="1" t="s">
        <v>135</v>
      </c>
      <c r="C859" s="1">
        <v>0</v>
      </c>
    </row>
    <row r="860" spans="2:3" hidden="1">
      <c r="B860" s="1" t="s">
        <v>136</v>
      </c>
      <c r="C860" s="1">
        <v>0</v>
      </c>
    </row>
    <row r="861" spans="2:3" hidden="1">
      <c r="B861" s="1" t="s">
        <v>137</v>
      </c>
      <c r="C861" s="1">
        <v>0</v>
      </c>
    </row>
    <row r="862" spans="2:3" hidden="1">
      <c r="B862" s="1" t="s">
        <v>138</v>
      </c>
      <c r="C862" s="1">
        <v>3500</v>
      </c>
    </row>
    <row r="863" spans="2:3" hidden="1">
      <c r="B863" s="1" t="s">
        <v>139</v>
      </c>
      <c r="C863" s="1">
        <v>4</v>
      </c>
    </row>
    <row r="864" spans="2:3" hidden="1">
      <c r="B864" s="1" t="s">
        <v>140</v>
      </c>
      <c r="C864" s="1">
        <v>0</v>
      </c>
    </row>
    <row r="865" spans="2:3" hidden="1">
      <c r="B865" s="1" t="s">
        <v>141</v>
      </c>
      <c r="C865" s="1">
        <v>0</v>
      </c>
    </row>
    <row r="866" spans="2:3" hidden="1">
      <c r="B866" s="1" t="s">
        <v>142</v>
      </c>
      <c r="C866" s="1">
        <v>0</v>
      </c>
    </row>
    <row r="867" spans="2:3" hidden="1">
      <c r="B867" s="1" t="s">
        <v>143</v>
      </c>
      <c r="C867" s="1">
        <v>6</v>
      </c>
    </row>
    <row r="868" spans="2:3" hidden="1">
      <c r="B868" s="1" t="s">
        <v>144</v>
      </c>
      <c r="C868" s="1">
        <v>3.65</v>
      </c>
    </row>
    <row r="869" spans="2:3" hidden="1">
      <c r="B869" s="1" t="s">
        <v>145</v>
      </c>
      <c r="C869" s="1">
        <v>3.38</v>
      </c>
    </row>
    <row r="870" spans="2:3" hidden="1">
      <c r="B870" s="1" t="s">
        <v>146</v>
      </c>
      <c r="C870" s="1">
        <v>1</v>
      </c>
    </row>
    <row r="871" spans="2:3" hidden="1">
      <c r="B871" s="1" t="s">
        <v>147</v>
      </c>
      <c r="C871" s="1">
        <v>0</v>
      </c>
    </row>
    <row r="872" spans="2:3" hidden="1">
      <c r="B872" s="1" t="s">
        <v>148</v>
      </c>
      <c r="C872" s="1">
        <v>13</v>
      </c>
    </row>
    <row r="873" spans="2:3" hidden="1">
      <c r="B873" s="1" t="s">
        <v>149</v>
      </c>
      <c r="C873" s="1">
        <v>0</v>
      </c>
    </row>
    <row r="874" spans="2:3" hidden="1">
      <c r="B874" s="1" t="s">
        <v>150</v>
      </c>
      <c r="C874" s="1">
        <v>0</v>
      </c>
    </row>
    <row r="875" spans="2:3" hidden="1">
      <c r="B875" s="1" t="s">
        <v>151</v>
      </c>
      <c r="C875" s="1">
        <v>0</v>
      </c>
    </row>
    <row r="876" spans="2:3" hidden="1">
      <c r="B876" s="1" t="s">
        <v>152</v>
      </c>
      <c r="C876" s="1">
        <v>0</v>
      </c>
    </row>
    <row r="877" spans="2:3" hidden="1">
      <c r="B877" s="1" t="s">
        <v>153</v>
      </c>
      <c r="C877" s="1">
        <v>0</v>
      </c>
    </row>
    <row r="878" spans="2:3" hidden="1">
      <c r="B878" s="1" t="s">
        <v>154</v>
      </c>
      <c r="C878" s="1">
        <v>0</v>
      </c>
    </row>
    <row r="879" spans="2:3" hidden="1">
      <c r="B879" s="1" t="s">
        <v>155</v>
      </c>
      <c r="C879" s="1">
        <v>5</v>
      </c>
    </row>
    <row r="880" spans="2:3" hidden="1">
      <c r="B880" s="1" t="s">
        <v>156</v>
      </c>
      <c r="C880" s="1">
        <v>0</v>
      </c>
    </row>
    <row r="881" spans="2:3" hidden="1">
      <c r="B881" s="1" t="s">
        <v>157</v>
      </c>
      <c r="C881" s="1">
        <v>0</v>
      </c>
    </row>
    <row r="882" spans="2:3" hidden="1">
      <c r="B882" s="1" t="s">
        <v>158</v>
      </c>
      <c r="C882" s="1">
        <v>0</v>
      </c>
    </row>
    <row r="883" spans="2:3" hidden="1">
      <c r="B883" s="1" t="s">
        <v>159</v>
      </c>
      <c r="C883" s="1">
        <v>6800</v>
      </c>
    </row>
    <row r="884" spans="2:3" hidden="1">
      <c r="B884" s="1" t="s">
        <v>160</v>
      </c>
      <c r="C884" s="1">
        <v>0</v>
      </c>
    </row>
    <row r="885" spans="2:3" hidden="1">
      <c r="B885" s="1" t="s">
        <v>161</v>
      </c>
      <c r="C885" s="1">
        <v>0</v>
      </c>
    </row>
    <row r="886" spans="2:3" hidden="1">
      <c r="B886" s="1" t="s">
        <v>162</v>
      </c>
      <c r="C886" s="1">
        <v>8500</v>
      </c>
    </row>
    <row r="887" spans="2:3" hidden="1">
      <c r="B887" s="1" t="s">
        <v>163</v>
      </c>
      <c r="C887" s="1">
        <v>5</v>
      </c>
    </row>
    <row r="888" spans="2:3" hidden="1">
      <c r="B888" s="1" t="s">
        <v>164</v>
      </c>
      <c r="C888" s="1">
        <v>15000</v>
      </c>
    </row>
    <row r="889" spans="2:3" hidden="1">
      <c r="B889" s="1" t="s">
        <v>165</v>
      </c>
      <c r="C889" s="1">
        <v>5</v>
      </c>
    </row>
    <row r="890" spans="2:3" hidden="1">
      <c r="B890" s="1" t="s">
        <v>166</v>
      </c>
      <c r="C890" s="1">
        <v>0</v>
      </c>
    </row>
    <row r="891" spans="2:3" hidden="1">
      <c r="B891" s="1" t="s">
        <v>167</v>
      </c>
      <c r="C891" s="1">
        <v>0</v>
      </c>
    </row>
    <row r="892" spans="2:3" hidden="1">
      <c r="B892" s="1" t="s">
        <v>168</v>
      </c>
      <c r="C892" s="1">
        <v>0</v>
      </c>
    </row>
    <row r="893" spans="2:3" hidden="1">
      <c r="B893" s="1" t="s">
        <v>169</v>
      </c>
      <c r="C893" s="1">
        <v>0</v>
      </c>
    </row>
    <row r="894" spans="2:3" hidden="1">
      <c r="B894" s="1" t="s">
        <v>170</v>
      </c>
      <c r="C894" s="1">
        <v>0</v>
      </c>
    </row>
    <row r="895" spans="2:3" hidden="1">
      <c r="B895" s="1" t="s">
        <v>171</v>
      </c>
      <c r="C895" s="1">
        <v>0</v>
      </c>
    </row>
    <row r="896" spans="2:3" hidden="1">
      <c r="B896" s="1" t="s">
        <v>172</v>
      </c>
      <c r="C896" s="1">
        <v>0</v>
      </c>
    </row>
    <row r="897" spans="2:3" hidden="1">
      <c r="B897" s="1" t="s">
        <v>173</v>
      </c>
      <c r="C897" s="1">
        <v>0</v>
      </c>
    </row>
    <row r="898" spans="2:3" hidden="1">
      <c r="B898" s="1" t="s">
        <v>174</v>
      </c>
      <c r="C898" s="1">
        <v>0</v>
      </c>
    </row>
    <row r="899" spans="2:3" hidden="1">
      <c r="B899" s="1" t="s">
        <v>175</v>
      </c>
      <c r="C899" s="1">
        <v>0</v>
      </c>
    </row>
    <row r="900" spans="2:3" hidden="1">
      <c r="B900" s="1" t="s">
        <v>176</v>
      </c>
      <c r="C900" s="1">
        <v>0</v>
      </c>
    </row>
    <row r="901" spans="2:3" hidden="1">
      <c r="B901" s="1" t="s">
        <v>177</v>
      </c>
      <c r="C901" s="1">
        <v>6</v>
      </c>
    </row>
    <row r="902" spans="2:3" hidden="1">
      <c r="B902" s="1" t="s">
        <v>178</v>
      </c>
      <c r="C902" s="1">
        <v>0</v>
      </c>
    </row>
    <row r="903" spans="2:3" hidden="1">
      <c r="B903" s="1" t="s">
        <v>179</v>
      </c>
      <c r="C903" s="1">
        <v>0</v>
      </c>
    </row>
    <row r="904" spans="2:3" hidden="1">
      <c r="B904" s="1" t="s">
        <v>180</v>
      </c>
      <c r="C904" s="1">
        <v>0</v>
      </c>
    </row>
    <row r="905" spans="2:3" hidden="1">
      <c r="B905" s="1" t="s">
        <v>181</v>
      </c>
      <c r="C905" s="1">
        <v>0</v>
      </c>
    </row>
    <row r="906" spans="2:3" hidden="1">
      <c r="B906" s="1" t="s">
        <v>182</v>
      </c>
      <c r="C906" s="1">
        <v>0</v>
      </c>
    </row>
    <row r="907" spans="2:3" hidden="1">
      <c r="B907" s="1" t="s">
        <v>183</v>
      </c>
      <c r="C907" s="1">
        <v>0</v>
      </c>
    </row>
    <row r="908" spans="2:3" hidden="1">
      <c r="B908" s="1" t="s">
        <v>184</v>
      </c>
      <c r="C908" s="1">
        <v>0</v>
      </c>
    </row>
    <row r="909" spans="2:3" hidden="1">
      <c r="B909" s="1" t="s">
        <v>185</v>
      </c>
      <c r="C909" s="1">
        <v>0</v>
      </c>
    </row>
    <row r="910" spans="2:3" hidden="1">
      <c r="B910" s="1" t="s">
        <v>186</v>
      </c>
      <c r="C910" s="1">
        <v>0</v>
      </c>
    </row>
    <row r="911" spans="2:3" hidden="1">
      <c r="B911" s="1" t="s">
        <v>187</v>
      </c>
      <c r="C911" s="1">
        <v>0</v>
      </c>
    </row>
    <row r="912" spans="2:3" hidden="1">
      <c r="B912" s="1" t="s">
        <v>188</v>
      </c>
      <c r="C912" s="1">
        <v>0</v>
      </c>
    </row>
    <row r="913" spans="2:3" hidden="1">
      <c r="B913" s="1" t="s">
        <v>189</v>
      </c>
      <c r="C913" s="1">
        <v>0</v>
      </c>
    </row>
    <row r="914" spans="2:3" hidden="1">
      <c r="B914" s="1" t="s">
        <v>190</v>
      </c>
      <c r="C914" s="1">
        <v>2</v>
      </c>
    </row>
    <row r="915" spans="2:3" hidden="1">
      <c r="B915" s="1" t="s">
        <v>191</v>
      </c>
      <c r="C915" s="1">
        <v>0</v>
      </c>
    </row>
    <row r="916" spans="2:3" hidden="1">
      <c r="B916" s="1" t="s">
        <v>192</v>
      </c>
      <c r="C916" s="1">
        <v>0</v>
      </c>
    </row>
    <row r="917" spans="2:3" hidden="1">
      <c r="B917" s="1" t="s">
        <v>193</v>
      </c>
      <c r="C917" s="1">
        <v>0</v>
      </c>
    </row>
    <row r="918" spans="2:3" hidden="1">
      <c r="B918" s="1" t="s">
        <v>194</v>
      </c>
      <c r="C918" s="1">
        <v>0</v>
      </c>
    </row>
    <row r="919" spans="2:3" hidden="1">
      <c r="B919" s="1" t="s">
        <v>195</v>
      </c>
      <c r="C919" s="1">
        <v>0</v>
      </c>
    </row>
    <row r="920" spans="2:3" hidden="1">
      <c r="B920" s="1" t="s">
        <v>196</v>
      </c>
      <c r="C920" s="1">
        <v>0</v>
      </c>
    </row>
    <row r="921" spans="2:3" hidden="1">
      <c r="B921" s="1" t="s">
        <v>197</v>
      </c>
      <c r="C921" s="1">
        <v>0</v>
      </c>
    </row>
    <row r="922" spans="2:3" hidden="1">
      <c r="B922" s="1" t="s">
        <v>198</v>
      </c>
      <c r="C922" s="1" t="s">
        <v>200</v>
      </c>
    </row>
    <row r="923" spans="2:3" hidden="1">
      <c r="B923" s="1" t="s">
        <v>199</v>
      </c>
      <c r="C923" s="1" t="s">
        <v>202</v>
      </c>
    </row>
    <row r="924" spans="2:3" hidden="1">
      <c r="B924" s="1" t="s">
        <v>201</v>
      </c>
      <c r="C924" s="1" t="s">
        <v>204</v>
      </c>
    </row>
    <row r="925" spans="2:3" hidden="1">
      <c r="B925" s="1" t="s">
        <v>203</v>
      </c>
      <c r="C925" s="1" t="s">
        <v>206</v>
      </c>
    </row>
    <row r="926" spans="2:3" hidden="1">
      <c r="B926" s="1" t="s">
        <v>205</v>
      </c>
      <c r="C926" s="1" t="s">
        <v>208</v>
      </c>
    </row>
    <row r="927" spans="2:3" hidden="1">
      <c r="B927" s="1" t="s">
        <v>207</v>
      </c>
      <c r="C927" s="1" t="s">
        <v>210</v>
      </c>
    </row>
    <row r="928" spans="2:3" hidden="1">
      <c r="B928" s="1" t="s">
        <v>209</v>
      </c>
      <c r="C928" s="1" t="s">
        <v>212</v>
      </c>
    </row>
    <row r="929" spans="2:3" hidden="1">
      <c r="B929" s="1" t="s">
        <v>211</v>
      </c>
      <c r="C929" s="1" t="s">
        <v>214</v>
      </c>
    </row>
    <row r="930" spans="2:3" hidden="1">
      <c r="B930" s="1" t="s">
        <v>213</v>
      </c>
      <c r="C930" s="1" t="s">
        <v>216</v>
      </c>
    </row>
    <row r="931" spans="2:3" hidden="1">
      <c r="B931" s="1" t="s">
        <v>215</v>
      </c>
      <c r="C931" s="1" t="s">
        <v>218</v>
      </c>
    </row>
    <row r="932" spans="2:3" hidden="1">
      <c r="B932" s="1" t="s">
        <v>217</v>
      </c>
      <c r="C932" s="1" t="s">
        <v>220</v>
      </c>
    </row>
    <row r="933" spans="2:3" hidden="1">
      <c r="B933" s="1" t="s">
        <v>219</v>
      </c>
      <c r="C933" s="1" t="s">
        <v>222</v>
      </c>
    </row>
    <row r="934" spans="2:3" hidden="1">
      <c r="B934" s="1" t="s">
        <v>221</v>
      </c>
      <c r="C934" s="1" t="s">
        <v>220</v>
      </c>
    </row>
    <row r="935" spans="2:3" hidden="1">
      <c r="B935" s="1" t="s">
        <v>223</v>
      </c>
      <c r="C935" s="1" t="s">
        <v>212</v>
      </c>
    </row>
    <row r="936" spans="2:3" hidden="1">
      <c r="B936" s="1" t="s">
        <v>224</v>
      </c>
      <c r="C936" s="1" t="s">
        <v>226</v>
      </c>
    </row>
    <row r="937" spans="2:3" hidden="1">
      <c r="B937" s="1" t="s">
        <v>225</v>
      </c>
      <c r="C937" s="1" t="s">
        <v>220</v>
      </c>
    </row>
    <row r="938" spans="2:3" hidden="1">
      <c r="B938" s="1" t="s">
        <v>227</v>
      </c>
      <c r="C938" s="1" t="s">
        <v>220</v>
      </c>
    </row>
    <row r="939" spans="2:3" hidden="1">
      <c r="B939" s="1" t="s">
        <v>228</v>
      </c>
      <c r="C939" s="1" t="s">
        <v>208</v>
      </c>
    </row>
    <row r="940" spans="2:3" hidden="1">
      <c r="B940" s="1" t="s">
        <v>229</v>
      </c>
      <c r="C940" s="1" t="s">
        <v>231</v>
      </c>
    </row>
    <row r="941" spans="2:3" hidden="1">
      <c r="B941" s="1" t="s">
        <v>230</v>
      </c>
      <c r="C941" s="1" t="s">
        <v>204</v>
      </c>
    </row>
    <row r="942" spans="2:3" hidden="1">
      <c r="B942" s="1" t="s">
        <v>232</v>
      </c>
      <c r="C942" s="1" t="s">
        <v>231</v>
      </c>
    </row>
    <row r="943" spans="2:3" hidden="1">
      <c r="B943" s="1" t="s">
        <v>233</v>
      </c>
      <c r="C943" s="1" t="s">
        <v>235</v>
      </c>
    </row>
    <row r="944" spans="2:3" hidden="1">
      <c r="B944" s="1" t="s">
        <v>234</v>
      </c>
      <c r="C944" s="1" t="s">
        <v>237</v>
      </c>
    </row>
    <row r="945" spans="2:3" hidden="1">
      <c r="B945" s="1" t="s">
        <v>236</v>
      </c>
      <c r="C945" s="1" t="s">
        <v>239</v>
      </c>
    </row>
    <row r="946" spans="2:3" hidden="1">
      <c r="B946" s="1" t="s">
        <v>238</v>
      </c>
      <c r="C946" s="1" t="s">
        <v>208</v>
      </c>
    </row>
    <row r="947" spans="2:3" hidden="1">
      <c r="B947" s="1" t="s">
        <v>240</v>
      </c>
      <c r="C947" s="1" t="s">
        <v>208</v>
      </c>
    </row>
    <row r="948" spans="2:3" hidden="1">
      <c r="B948" s="1" t="s">
        <v>241</v>
      </c>
      <c r="C948" s="1" t="s">
        <v>243</v>
      </c>
    </row>
    <row r="949" spans="2:3" hidden="1">
      <c r="B949" s="1" t="s">
        <v>242</v>
      </c>
      <c r="C949" s="1" t="s">
        <v>245</v>
      </c>
    </row>
    <row r="950" spans="2:3" hidden="1">
      <c r="B950" s="1" t="s">
        <v>244</v>
      </c>
      <c r="C950" s="1">
        <v>0</v>
      </c>
    </row>
    <row r="951" spans="2:3" hidden="1">
      <c r="B951" s="1" t="s">
        <v>246</v>
      </c>
      <c r="C951" s="1">
        <v>0</v>
      </c>
    </row>
    <row r="952" spans="2:3" hidden="1">
      <c r="B952" s="1" t="s">
        <v>247</v>
      </c>
      <c r="C952" s="1">
        <v>0</v>
      </c>
    </row>
    <row r="953" spans="2:3" hidden="1">
      <c r="B953" s="1" t="s">
        <v>248</v>
      </c>
      <c r="C953" s="1">
        <v>0</v>
      </c>
    </row>
    <row r="954" spans="2:3" hidden="1">
      <c r="B954" s="1" t="s">
        <v>249</v>
      </c>
      <c r="C954" s="1">
        <v>0</v>
      </c>
    </row>
    <row r="955" spans="2:3" hidden="1">
      <c r="B955" s="1" t="s">
        <v>250</v>
      </c>
      <c r="C955" s="1">
        <v>0</v>
      </c>
    </row>
    <row r="956" spans="2:3" hidden="1">
      <c r="B956" s="1" t="s">
        <v>251</v>
      </c>
      <c r="C956" s="1">
        <v>0</v>
      </c>
    </row>
    <row r="957" spans="2:3" hidden="1">
      <c r="B957" s="1" t="s">
        <v>252</v>
      </c>
      <c r="C957" s="1">
        <v>0</v>
      </c>
    </row>
    <row r="958" spans="2:3" hidden="1">
      <c r="B958" s="1" t="s">
        <v>253</v>
      </c>
      <c r="C958" s="1">
        <v>0</v>
      </c>
    </row>
    <row r="959" spans="2:3" hidden="1">
      <c r="B959" s="1" t="s">
        <v>254</v>
      </c>
      <c r="C959" s="1">
        <v>0</v>
      </c>
    </row>
    <row r="960" spans="2:3" hidden="1">
      <c r="B960" s="1" t="s">
        <v>255</v>
      </c>
      <c r="C960" s="1">
        <v>0</v>
      </c>
    </row>
    <row r="961" spans="2:3" hidden="1">
      <c r="B961" s="1" t="s">
        <v>256</v>
      </c>
      <c r="C961" s="1">
        <v>0</v>
      </c>
    </row>
    <row r="962" spans="2:3" hidden="1">
      <c r="B962" s="1" t="s">
        <v>257</v>
      </c>
      <c r="C962" s="1">
        <v>0</v>
      </c>
    </row>
    <row r="963" spans="2:3" hidden="1">
      <c r="B963" s="1" t="s">
        <v>258</v>
      </c>
      <c r="C963" s="1">
        <v>0</v>
      </c>
    </row>
    <row r="964" spans="2:3" hidden="1">
      <c r="B964" s="1" t="s">
        <v>259</v>
      </c>
      <c r="C964" s="1" t="s">
        <v>261</v>
      </c>
    </row>
    <row r="965" spans="2:3" hidden="1">
      <c r="B965" s="1" t="s">
        <v>260</v>
      </c>
      <c r="C965" s="1">
        <v>0</v>
      </c>
    </row>
    <row r="966" spans="2:3" hidden="1">
      <c r="B966" s="1" t="s">
        <v>262</v>
      </c>
      <c r="C966" s="1">
        <v>0</v>
      </c>
    </row>
    <row r="967" spans="2:3" hidden="1">
      <c r="B967" s="1" t="s">
        <v>263</v>
      </c>
      <c r="C967" s="1">
        <v>0</v>
      </c>
    </row>
    <row r="968" spans="2:3" hidden="1">
      <c r="B968" s="1" t="s">
        <v>264</v>
      </c>
      <c r="C968" s="1">
        <v>0</v>
      </c>
    </row>
    <row r="969" spans="2:3" hidden="1">
      <c r="B969" s="1" t="s">
        <v>265</v>
      </c>
      <c r="C969" s="1" t="s">
        <v>267</v>
      </c>
    </row>
    <row r="970" spans="2:3" hidden="1">
      <c r="B970" s="1" t="s">
        <v>266</v>
      </c>
      <c r="C970" s="1">
        <v>0</v>
      </c>
    </row>
    <row r="971" spans="2:3" hidden="1">
      <c r="B971" s="1" t="s">
        <v>268</v>
      </c>
      <c r="C971" s="1">
        <v>0</v>
      </c>
    </row>
    <row r="972" spans="2:3" hidden="1">
      <c r="B972" s="1" t="s">
        <v>269</v>
      </c>
      <c r="C972" s="1">
        <v>0</v>
      </c>
    </row>
    <row r="973" spans="2:3" hidden="1">
      <c r="B973" s="1" t="s">
        <v>270</v>
      </c>
      <c r="C973" s="1">
        <v>0</v>
      </c>
    </row>
    <row r="974" spans="2:3" hidden="1">
      <c r="B974" s="1" t="s">
        <v>271</v>
      </c>
      <c r="C974" s="1">
        <v>0</v>
      </c>
    </row>
    <row r="975" spans="2:3" hidden="1">
      <c r="B975" s="1" t="s">
        <v>272</v>
      </c>
      <c r="C975" s="1">
        <v>0</v>
      </c>
    </row>
    <row r="976" spans="2:3" hidden="1">
      <c r="B976" s="1" t="s">
        <v>273</v>
      </c>
      <c r="C976" s="1">
        <v>0</v>
      </c>
    </row>
    <row r="977" spans="2:3" hidden="1">
      <c r="B977" s="1" t="s">
        <v>274</v>
      </c>
      <c r="C977" s="1">
        <v>0</v>
      </c>
    </row>
    <row r="978" spans="2:3" hidden="1">
      <c r="B978" s="1" t="s">
        <v>275</v>
      </c>
      <c r="C978" s="1">
        <v>0</v>
      </c>
    </row>
    <row r="979" spans="2:3" hidden="1">
      <c r="B979" s="1" t="s">
        <v>276</v>
      </c>
      <c r="C979" s="1">
        <v>0</v>
      </c>
    </row>
    <row r="980" spans="2:3" hidden="1">
      <c r="B980" s="1" t="s">
        <v>277</v>
      </c>
      <c r="C980" s="1">
        <v>0</v>
      </c>
    </row>
    <row r="981" spans="2:3" hidden="1">
      <c r="B981" s="1" t="s">
        <v>278</v>
      </c>
      <c r="C981" s="1">
        <v>0</v>
      </c>
    </row>
    <row r="982" spans="2:3" hidden="1">
      <c r="B982" s="1" t="s">
        <v>279</v>
      </c>
      <c r="C982" s="1">
        <v>0</v>
      </c>
    </row>
    <row r="983" spans="2:3" hidden="1">
      <c r="B983" s="1" t="s">
        <v>280</v>
      </c>
      <c r="C983" s="1">
        <v>0</v>
      </c>
    </row>
    <row r="984" spans="2:3" hidden="1">
      <c r="B984" s="1" t="s">
        <v>281</v>
      </c>
      <c r="C984" s="1">
        <v>0</v>
      </c>
    </row>
    <row r="985" spans="2:3" hidden="1">
      <c r="B985" s="1" t="s">
        <v>282</v>
      </c>
      <c r="C985" s="1">
        <v>0</v>
      </c>
    </row>
    <row r="986" spans="2:3" hidden="1">
      <c r="B986" s="1" t="s">
        <v>283</v>
      </c>
      <c r="C986" s="1" t="s">
        <v>261</v>
      </c>
    </row>
    <row r="987" spans="2:3" hidden="1">
      <c r="B987" s="1" t="s">
        <v>284</v>
      </c>
      <c r="C987" s="1" t="s">
        <v>267</v>
      </c>
    </row>
    <row r="988" spans="2:3" hidden="1">
      <c r="B988" s="1" t="s">
        <v>285</v>
      </c>
      <c r="C988" s="1">
        <v>0</v>
      </c>
    </row>
    <row r="989" spans="2:3" hidden="1">
      <c r="B989" s="1" t="s">
        <v>286</v>
      </c>
      <c r="C989" s="1">
        <v>0</v>
      </c>
    </row>
    <row r="990" spans="2:3" hidden="1">
      <c r="B990" s="1" t="s">
        <v>287</v>
      </c>
      <c r="C990" s="1">
        <v>0</v>
      </c>
    </row>
    <row r="991" spans="2:3" hidden="1">
      <c r="B991" s="1" t="s">
        <v>288</v>
      </c>
      <c r="C991" s="1">
        <v>0</v>
      </c>
    </row>
    <row r="992" spans="2:3" hidden="1">
      <c r="B992" s="1" t="s">
        <v>289</v>
      </c>
      <c r="C992" s="1">
        <v>0</v>
      </c>
    </row>
    <row r="993" spans="2:3" hidden="1">
      <c r="B993" s="1" t="s">
        <v>290</v>
      </c>
      <c r="C993" s="1">
        <v>0</v>
      </c>
    </row>
    <row r="994" spans="2:3" hidden="1">
      <c r="B994" s="1" t="s">
        <v>291</v>
      </c>
      <c r="C994" s="1">
        <v>0</v>
      </c>
    </row>
    <row r="995" spans="2:3" hidden="1">
      <c r="B995" s="1" t="s">
        <v>292</v>
      </c>
      <c r="C995" s="1">
        <v>0</v>
      </c>
    </row>
    <row r="996" spans="2:3" hidden="1">
      <c r="B996" s="1" t="s">
        <v>293</v>
      </c>
      <c r="C996" s="1">
        <v>0</v>
      </c>
    </row>
    <row r="997" spans="2:3" hidden="1">
      <c r="B997" s="1" t="s">
        <v>294</v>
      </c>
      <c r="C997" s="1">
        <v>0</v>
      </c>
    </row>
    <row r="998" spans="2:3" hidden="1">
      <c r="B998" s="1" t="s">
        <v>295</v>
      </c>
      <c r="C998" s="1">
        <v>0</v>
      </c>
    </row>
    <row r="999" spans="2:3" hidden="1">
      <c r="B999" s="1" t="s">
        <v>296</v>
      </c>
      <c r="C999" s="1">
        <v>0</v>
      </c>
    </row>
    <row r="1000" spans="2:3" hidden="1">
      <c r="B1000" s="1" t="s">
        <v>297</v>
      </c>
      <c r="C1000" s="1">
        <v>0</v>
      </c>
    </row>
    <row r="1001" spans="2:3" hidden="1">
      <c r="B1001" s="1" t="s">
        <v>298</v>
      </c>
      <c r="C1001" s="1">
        <v>0</v>
      </c>
    </row>
    <row r="1002" spans="2:3" hidden="1">
      <c r="B1002" s="1" t="s">
        <v>299</v>
      </c>
      <c r="C1002" s="1">
        <v>1</v>
      </c>
    </row>
    <row r="1003" spans="2:3" hidden="1">
      <c r="B1003" s="1" t="s">
        <v>300</v>
      </c>
      <c r="C1003" s="1">
        <v>0</v>
      </c>
    </row>
    <row r="1004" spans="2:3" hidden="1">
      <c r="B1004" s="1" t="s">
        <v>301</v>
      </c>
      <c r="C1004" s="1">
        <v>0</v>
      </c>
    </row>
    <row r="1005" spans="2:3" hidden="1">
      <c r="B1005" s="1" t="s">
        <v>302</v>
      </c>
      <c r="C1005" s="1">
        <v>0</v>
      </c>
    </row>
    <row r="1006" spans="2:3" hidden="1">
      <c r="B1006" s="1" t="s">
        <v>303</v>
      </c>
      <c r="C1006" s="1">
        <v>0</v>
      </c>
    </row>
    <row r="1007" spans="2:3" hidden="1">
      <c r="B1007" s="1" t="s">
        <v>304</v>
      </c>
      <c r="C1007" s="1">
        <v>1</v>
      </c>
    </row>
    <row r="1008" spans="2:3" hidden="1">
      <c r="B1008" s="1" t="s">
        <v>305</v>
      </c>
      <c r="C1008" s="1">
        <v>0</v>
      </c>
    </row>
    <row r="1009" spans="2:3" hidden="1">
      <c r="B1009" s="1" t="s">
        <v>306</v>
      </c>
      <c r="C1009" s="1">
        <v>0</v>
      </c>
    </row>
    <row r="1010" spans="2:3" hidden="1">
      <c r="B1010" s="1" t="s">
        <v>307</v>
      </c>
      <c r="C1010" s="1">
        <v>0</v>
      </c>
    </row>
    <row r="1011" spans="2:3" hidden="1">
      <c r="B1011" s="1" t="s">
        <v>308</v>
      </c>
      <c r="C1011" s="1">
        <v>0</v>
      </c>
    </row>
    <row r="1012" spans="2:3" hidden="1">
      <c r="B1012" s="1" t="s">
        <v>309</v>
      </c>
      <c r="C1012" s="1">
        <v>0</v>
      </c>
    </row>
    <row r="1013" spans="2:3" hidden="1">
      <c r="B1013" s="1" t="s">
        <v>310</v>
      </c>
      <c r="C1013" s="1">
        <v>0</v>
      </c>
    </row>
    <row r="1014" spans="2:3" hidden="1">
      <c r="B1014" s="1" t="s">
        <v>311</v>
      </c>
      <c r="C1014" s="1">
        <v>0</v>
      </c>
    </row>
    <row r="1015" spans="2:3" hidden="1">
      <c r="B1015" s="1" t="s">
        <v>312</v>
      </c>
      <c r="C1015" s="1">
        <v>0</v>
      </c>
    </row>
    <row r="1016" spans="2:3" hidden="1">
      <c r="B1016" s="1" t="s">
        <v>313</v>
      </c>
      <c r="C1016" s="1">
        <v>0</v>
      </c>
    </row>
    <row r="1017" spans="2:3" hidden="1">
      <c r="B1017" s="1" t="s">
        <v>314</v>
      </c>
      <c r="C1017" s="1">
        <v>0</v>
      </c>
    </row>
    <row r="1018" spans="2:3" hidden="1">
      <c r="B1018" s="1" t="s">
        <v>315</v>
      </c>
      <c r="C1018" s="1">
        <v>0</v>
      </c>
    </row>
    <row r="1019" spans="2:3" hidden="1">
      <c r="B1019" s="1" t="s">
        <v>316</v>
      </c>
      <c r="C1019" s="1">
        <v>0</v>
      </c>
    </row>
    <row r="1020" spans="2:3" hidden="1">
      <c r="B1020" s="1" t="s">
        <v>317</v>
      </c>
      <c r="C1020" s="1">
        <v>0</v>
      </c>
    </row>
    <row r="1021" spans="2:3" hidden="1">
      <c r="B1021" s="1" t="s">
        <v>318</v>
      </c>
      <c r="C1021" s="1">
        <v>0</v>
      </c>
    </row>
    <row r="1022" spans="2:3" hidden="1">
      <c r="B1022" s="1" t="s">
        <v>319</v>
      </c>
      <c r="C1022" s="1">
        <v>0</v>
      </c>
    </row>
    <row r="1023" spans="2:3" hidden="1">
      <c r="B1023" s="1" t="s">
        <v>320</v>
      </c>
      <c r="C1023" s="1">
        <v>0</v>
      </c>
    </row>
    <row r="1024" spans="2:3" hidden="1">
      <c r="B1024" s="1" t="s">
        <v>321</v>
      </c>
      <c r="C1024" s="1">
        <v>0</v>
      </c>
    </row>
    <row r="1025" spans="2:3" hidden="1">
      <c r="B1025" s="1" t="s">
        <v>322</v>
      </c>
      <c r="C1025" s="1">
        <v>1</v>
      </c>
    </row>
    <row r="1026" spans="2:3" hidden="1">
      <c r="B1026" s="1" t="s">
        <v>323</v>
      </c>
      <c r="C1026" s="1">
        <v>0</v>
      </c>
    </row>
    <row r="1027" spans="2:3" hidden="1">
      <c r="B1027" s="1" t="s">
        <v>324</v>
      </c>
      <c r="C1027" s="1">
        <v>0</v>
      </c>
    </row>
    <row r="1028" spans="2:3" hidden="1">
      <c r="B1028" s="1" t="s">
        <v>325</v>
      </c>
      <c r="C1028" s="1">
        <v>0</v>
      </c>
    </row>
    <row r="1029" spans="2:3" hidden="1">
      <c r="B1029" s="1" t="s">
        <v>326</v>
      </c>
      <c r="C1029" s="1">
        <v>0</v>
      </c>
    </row>
    <row r="1030" spans="2:3" hidden="1">
      <c r="B1030" s="1" t="s">
        <v>327</v>
      </c>
      <c r="C1030" s="1">
        <v>0</v>
      </c>
    </row>
    <row r="1031" spans="2:3" hidden="1">
      <c r="B1031" s="1" t="s">
        <v>328</v>
      </c>
      <c r="C1031" s="1">
        <v>0</v>
      </c>
    </row>
    <row r="1032" spans="2:3" hidden="1">
      <c r="B1032" s="1" t="s">
        <v>329</v>
      </c>
      <c r="C1032" s="1">
        <v>0</v>
      </c>
    </row>
    <row r="1033" spans="2:3" hidden="1">
      <c r="B1033" s="1" t="s">
        <v>330</v>
      </c>
      <c r="C1033" s="1">
        <v>0</v>
      </c>
    </row>
    <row r="1034" spans="2:3" hidden="1">
      <c r="B1034" s="1" t="s">
        <v>331</v>
      </c>
      <c r="C1034" s="1">
        <v>0</v>
      </c>
    </row>
    <row r="1035" spans="2:3" hidden="1">
      <c r="B1035" s="1" t="s">
        <v>332</v>
      </c>
      <c r="C1035" s="1">
        <v>0</v>
      </c>
    </row>
    <row r="1036" spans="2:3" hidden="1">
      <c r="B1036" s="1" t="s">
        <v>333</v>
      </c>
      <c r="C1036" s="1">
        <v>0</v>
      </c>
    </row>
    <row r="1037" spans="2:3" hidden="1">
      <c r="B1037" s="1" t="s">
        <v>334</v>
      </c>
      <c r="C1037" s="1">
        <v>0</v>
      </c>
    </row>
    <row r="1038" spans="2:3" hidden="1">
      <c r="B1038" s="1" t="s">
        <v>335</v>
      </c>
      <c r="C1038" s="1">
        <v>0</v>
      </c>
    </row>
    <row r="1039" spans="2:3" hidden="1">
      <c r="B1039" s="1" t="s">
        <v>336</v>
      </c>
      <c r="C1039" s="1">
        <v>0</v>
      </c>
    </row>
    <row r="1040" spans="2:3" hidden="1">
      <c r="B1040" s="1" t="s">
        <v>337</v>
      </c>
      <c r="C1040" s="1">
        <v>0</v>
      </c>
    </row>
    <row r="1041" spans="2:3" hidden="1">
      <c r="B1041" s="1" t="s">
        <v>338</v>
      </c>
      <c r="C1041" s="1">
        <v>0</v>
      </c>
    </row>
    <row r="1042" spans="2:3" hidden="1">
      <c r="B1042" s="1" t="s">
        <v>339</v>
      </c>
      <c r="C1042" s="1">
        <v>0</v>
      </c>
    </row>
    <row r="1043" spans="2:3" hidden="1">
      <c r="B1043" s="1" t="s">
        <v>340</v>
      </c>
      <c r="C1043" s="1">
        <v>0</v>
      </c>
    </row>
    <row r="1044" spans="2:3" hidden="1">
      <c r="B1044" s="1" t="s">
        <v>341</v>
      </c>
      <c r="C1044" s="1">
        <v>0</v>
      </c>
    </row>
    <row r="1045" spans="2:3" hidden="1">
      <c r="B1045" s="1" t="s">
        <v>342</v>
      </c>
      <c r="C1045" s="1">
        <v>0</v>
      </c>
    </row>
    <row r="1046" spans="2:3" hidden="1">
      <c r="B1046" s="1" t="s">
        <v>343</v>
      </c>
      <c r="C1046" s="1">
        <v>0</v>
      </c>
    </row>
    <row r="1047" spans="2:3" hidden="1">
      <c r="B1047" s="1" t="s">
        <v>344</v>
      </c>
      <c r="C1047" s="1">
        <v>0</v>
      </c>
    </row>
    <row r="1048" spans="2:3" hidden="1">
      <c r="B1048" s="1" t="s">
        <v>345</v>
      </c>
      <c r="C1048" s="1">
        <v>0</v>
      </c>
    </row>
    <row r="1049" spans="2:3" hidden="1">
      <c r="B1049" s="1" t="s">
        <v>346</v>
      </c>
      <c r="C1049" s="1">
        <v>0</v>
      </c>
    </row>
    <row r="1050" spans="2:3" hidden="1">
      <c r="B1050" s="1" t="s">
        <v>347</v>
      </c>
      <c r="C1050" s="1">
        <v>0</v>
      </c>
    </row>
    <row r="1051" spans="2:3" hidden="1">
      <c r="B1051" s="1" t="s">
        <v>348</v>
      </c>
      <c r="C1051" s="1">
        <v>0</v>
      </c>
    </row>
    <row r="1052" spans="2:3" hidden="1">
      <c r="B1052" s="1" t="s">
        <v>349</v>
      </c>
      <c r="C1052" s="1">
        <v>0</v>
      </c>
    </row>
    <row r="1053" spans="2:3" hidden="1">
      <c r="B1053" s="1" t="s">
        <v>350</v>
      </c>
      <c r="C1053" s="1">
        <v>0</v>
      </c>
    </row>
    <row r="1054" spans="2:3" hidden="1">
      <c r="B1054" s="1" t="s">
        <v>351</v>
      </c>
      <c r="C1054" s="1">
        <v>0</v>
      </c>
    </row>
    <row r="1055" spans="2:3" hidden="1">
      <c r="B1055" s="1" t="s">
        <v>352</v>
      </c>
      <c r="C1055" s="1">
        <v>0</v>
      </c>
    </row>
    <row r="1056" spans="2:3" hidden="1">
      <c r="B1056" s="1" t="s">
        <v>353</v>
      </c>
      <c r="C1056" s="1">
        <v>0</v>
      </c>
    </row>
    <row r="1057" spans="2:3" hidden="1">
      <c r="B1057" s="1" t="s">
        <v>354</v>
      </c>
      <c r="C1057" s="1">
        <v>0</v>
      </c>
    </row>
    <row r="1058" spans="2:3" hidden="1">
      <c r="B1058" s="1" t="s">
        <v>355</v>
      </c>
      <c r="C1058" s="1">
        <v>0</v>
      </c>
    </row>
    <row r="1059" spans="2:3" hidden="1">
      <c r="B1059" s="1" t="s">
        <v>356</v>
      </c>
      <c r="C1059" s="1">
        <v>0</v>
      </c>
    </row>
    <row r="1060" spans="2:3" hidden="1">
      <c r="B1060" s="1" t="s">
        <v>357</v>
      </c>
      <c r="C1060" s="1">
        <v>0</v>
      </c>
    </row>
    <row r="1061" spans="2:3" hidden="1">
      <c r="B1061" s="1" t="s">
        <v>358</v>
      </c>
      <c r="C1061" s="1">
        <v>0</v>
      </c>
    </row>
    <row r="1062" spans="2:3" hidden="1">
      <c r="B1062" s="1" t="s">
        <v>359</v>
      </c>
      <c r="C1062" s="1">
        <v>0</v>
      </c>
    </row>
    <row r="1063" spans="2:3" hidden="1">
      <c r="B1063" s="1" t="s">
        <v>360</v>
      </c>
      <c r="C1063" s="1">
        <v>0</v>
      </c>
    </row>
    <row r="1064" spans="2:3" hidden="1">
      <c r="B1064" s="1" t="s">
        <v>361</v>
      </c>
      <c r="C1064" s="1">
        <v>0</v>
      </c>
    </row>
    <row r="1065" spans="2:3" hidden="1">
      <c r="B1065" s="1" t="s">
        <v>362</v>
      </c>
      <c r="C1065" s="1">
        <v>0</v>
      </c>
    </row>
    <row r="1066" spans="2:3" hidden="1">
      <c r="B1066" s="1" t="s">
        <v>363</v>
      </c>
      <c r="C1066" s="1">
        <v>0</v>
      </c>
    </row>
    <row r="1067" spans="2:3" hidden="1">
      <c r="B1067" s="1" t="s">
        <v>364</v>
      </c>
      <c r="C1067" s="1">
        <v>0</v>
      </c>
    </row>
    <row r="1068" spans="2:3" hidden="1">
      <c r="B1068" s="1" t="s">
        <v>365</v>
      </c>
    </row>
  </sheetData>
  <sheetProtection sheet="1" objects="1" scenarios="1" selectLockedCells="1"/>
  <protectedRanges>
    <protectedRange sqref="F1 D8:E8 F19:F20 F25" name="Grey edit cells"/>
  </protectedRanges>
  <mergeCells count="5">
    <mergeCell ref="B58:C58"/>
    <mergeCell ref="B59:C59"/>
    <mergeCell ref="B3:F3"/>
    <mergeCell ref="B56:C56"/>
    <mergeCell ref="B57:C57"/>
  </mergeCells>
  <conditionalFormatting sqref="B66">
    <cfRule type="expression" dxfId="28" priority="44" stopIfTrue="1">
      <formula>MID(#REF!,1,4)="Rent"</formula>
    </cfRule>
  </conditionalFormatting>
  <conditionalFormatting sqref="B67:B69">
    <cfRule type="expression" dxfId="27" priority="4" stopIfTrue="1">
      <formula>MID($A62,1,4)="Rent"</formula>
    </cfRule>
  </conditionalFormatting>
  <conditionalFormatting sqref="B70">
    <cfRule type="expression" dxfId="26" priority="37" stopIfTrue="1">
      <formula>MID($A67,1,4)="Rent"</formula>
    </cfRule>
  </conditionalFormatting>
  <conditionalFormatting sqref="B71">
    <cfRule type="expression" dxfId="25" priority="1" stopIfTrue="1">
      <formula>MID($A71,1,4)="Rent"</formula>
    </cfRule>
  </conditionalFormatting>
  <conditionalFormatting sqref="C11:D11">
    <cfRule type="expression" dxfId="24" priority="5">
      <formula>$F$1="no"</formula>
    </cfRule>
  </conditionalFormatting>
  <conditionalFormatting sqref="C12:D21 C25:D27">
    <cfRule type="expression" dxfId="23" priority="27">
      <formula>$F$1="No"</formula>
    </cfRule>
  </conditionalFormatting>
  <conditionalFormatting sqref="C22:D22 D23 C24:D24">
    <cfRule type="expression" dxfId="22" priority="2">
      <formula>$F$1="No"</formula>
    </cfRule>
  </conditionalFormatting>
  <dataValidations count="1">
    <dataValidation type="list" allowBlank="1" showInputMessage="1" showErrorMessage="1" sqref="F1" xr:uid="{E8ED8797-D89B-40D8-90C1-E73FF3D4C5A8}">
      <formula1>"Yes,No"</formula1>
    </dataValidation>
  </dataValidations>
  <pageMargins left="0.7" right="0.7" top="0.75" bottom="0.75" header="0.3" footer="0.3"/>
  <pageSetup scale="85" orientation="portrait" r:id="rId1"/>
  <headerFooter>
    <oddFooter>&amp;C&amp;"Verdana,Regular"&amp;8The Crop Budget Generator is a product of the Food and Agricultural Policy Research Institute at the University of Missouri
www.fapri.missouri.edu</oddFooter>
  </headerFooter>
  <ignoredErrors>
    <ignoredError sqref="F21:F24"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B88A6-7137-4CF1-9B32-4C4BB4ED872E}">
  <dimension ref="A1:WVP1071"/>
  <sheetViews>
    <sheetView workbookViewId="0">
      <selection activeCell="F25" sqref="F25"/>
    </sheetView>
  </sheetViews>
  <sheetFormatPr defaultColWidth="0" defaultRowHeight="16.5" zeroHeight="1"/>
  <cols>
    <col min="1" max="1" width="2.625" style="1" customWidth="1"/>
    <col min="2" max="2" width="36.625" style="1" customWidth="1"/>
    <col min="3" max="4" width="9.625" style="1" customWidth="1"/>
    <col min="5" max="6" width="14.375" style="1" customWidth="1"/>
    <col min="7" max="7" width="11.75" style="1" customWidth="1"/>
    <col min="8" max="8" width="11.875" style="1" customWidth="1"/>
    <col min="9" max="9" width="9" style="1" hidden="1"/>
    <col min="10" max="257" width="8" style="1" hidden="1"/>
    <col min="258" max="258" width="28.125" style="1" hidden="1"/>
    <col min="259" max="259" width="8.125" style="1" hidden="1"/>
    <col min="260" max="260" width="9.125" style="1" hidden="1"/>
    <col min="261" max="261" width="9.75" style="1" hidden="1"/>
    <col min="262" max="262" width="11.125" style="1" hidden="1"/>
    <col min="263" max="263" width="10.375" style="1" hidden="1"/>
    <col min="264" max="264" width="10.5" style="1" hidden="1"/>
    <col min="265" max="513" width="8" style="1" hidden="1"/>
    <col min="514" max="514" width="28.125" style="1" hidden="1"/>
    <col min="515" max="515" width="8.125" style="1" hidden="1"/>
    <col min="516" max="516" width="9.125" style="1" hidden="1"/>
    <col min="517" max="517" width="9.75" style="1" hidden="1"/>
    <col min="518" max="518" width="11.125" style="1" hidden="1"/>
    <col min="519" max="519" width="10.375" style="1" hidden="1"/>
    <col min="520" max="520" width="10.5" style="1" hidden="1"/>
    <col min="521" max="769" width="8" style="1" hidden="1"/>
    <col min="770" max="770" width="28.125" style="1" hidden="1"/>
    <col min="771" max="771" width="8.125" style="1" hidden="1"/>
    <col min="772" max="772" width="9.125" style="1" hidden="1"/>
    <col min="773" max="773" width="9.75" style="1" hidden="1"/>
    <col min="774" max="774" width="11.125" style="1" hidden="1"/>
    <col min="775" max="775" width="10.375" style="1" hidden="1"/>
    <col min="776" max="776" width="10.5" style="1" hidden="1"/>
    <col min="777" max="1025" width="9" style="1" hidden="1"/>
    <col min="1026" max="1026" width="28.125" style="1" hidden="1"/>
    <col min="1027" max="1027" width="8.125" style="1" hidden="1"/>
    <col min="1028" max="1028" width="9.125" style="1" hidden="1"/>
    <col min="1029" max="1029" width="9.75" style="1" hidden="1"/>
    <col min="1030" max="1030" width="11.125" style="1" hidden="1"/>
    <col min="1031" max="1031" width="10.375" style="1" hidden="1"/>
    <col min="1032" max="1032" width="10.5" style="1" hidden="1"/>
    <col min="1033" max="1281" width="8" style="1" hidden="1"/>
    <col min="1282" max="1282" width="28.125" style="1" hidden="1"/>
    <col min="1283" max="1283" width="8.125" style="1" hidden="1"/>
    <col min="1284" max="1284" width="9.125" style="1" hidden="1"/>
    <col min="1285" max="1285" width="9.75" style="1" hidden="1"/>
    <col min="1286" max="1286" width="11.125" style="1" hidden="1"/>
    <col min="1287" max="1287" width="10.375" style="1" hidden="1"/>
    <col min="1288" max="1288" width="10.5" style="1" hidden="1"/>
    <col min="1289" max="1537" width="8" style="1" hidden="1"/>
    <col min="1538" max="1538" width="28.125" style="1" hidden="1"/>
    <col min="1539" max="1539" width="8.125" style="1" hidden="1"/>
    <col min="1540" max="1540" width="9.125" style="1" hidden="1"/>
    <col min="1541" max="1541" width="9.75" style="1" hidden="1"/>
    <col min="1542" max="1542" width="11.125" style="1" hidden="1"/>
    <col min="1543" max="1543" width="10.375" style="1" hidden="1"/>
    <col min="1544" max="1544" width="10.5" style="1" hidden="1"/>
    <col min="1545" max="1793" width="8" style="1" hidden="1"/>
    <col min="1794" max="1794" width="28.125" style="1" hidden="1"/>
    <col min="1795" max="1795" width="8.125" style="1" hidden="1"/>
    <col min="1796" max="1796" width="9.125" style="1" hidden="1"/>
    <col min="1797" max="1797" width="9.75" style="1" hidden="1"/>
    <col min="1798" max="1798" width="11.125" style="1" hidden="1"/>
    <col min="1799" max="1799" width="10.375" style="1" hidden="1"/>
    <col min="1800" max="1800" width="10.5" style="1" hidden="1"/>
    <col min="1801" max="2049" width="9" style="1" hidden="1"/>
    <col min="2050" max="2050" width="28.125" style="1" hidden="1"/>
    <col min="2051" max="2051" width="8.125" style="1" hidden="1"/>
    <col min="2052" max="2052" width="9.125" style="1" hidden="1"/>
    <col min="2053" max="2053" width="9.75" style="1" hidden="1"/>
    <col min="2054" max="2054" width="11.125" style="1" hidden="1"/>
    <col min="2055" max="2055" width="10.375" style="1" hidden="1"/>
    <col min="2056" max="2056" width="10.5" style="1" hidden="1"/>
    <col min="2057" max="2305" width="8" style="1" hidden="1"/>
    <col min="2306" max="2306" width="28.125" style="1" hidden="1"/>
    <col min="2307" max="2307" width="8.125" style="1" hidden="1"/>
    <col min="2308" max="2308" width="9.125" style="1" hidden="1"/>
    <col min="2309" max="2309" width="9.75" style="1" hidden="1"/>
    <col min="2310" max="2310" width="11.125" style="1" hidden="1"/>
    <col min="2311" max="2311" width="10.375" style="1" hidden="1"/>
    <col min="2312" max="2312" width="10.5" style="1" hidden="1"/>
    <col min="2313" max="2561" width="8" style="1" hidden="1"/>
    <col min="2562" max="2562" width="28.125" style="1" hidden="1"/>
    <col min="2563" max="2563" width="8.125" style="1" hidden="1"/>
    <col min="2564" max="2564" width="9.125" style="1" hidden="1"/>
    <col min="2565" max="2565" width="9.75" style="1" hidden="1"/>
    <col min="2566" max="2566" width="11.125" style="1" hidden="1"/>
    <col min="2567" max="2567" width="10.375" style="1" hidden="1"/>
    <col min="2568" max="2568" width="10.5" style="1" hidden="1"/>
    <col min="2569" max="2817" width="8" style="1" hidden="1"/>
    <col min="2818" max="2818" width="28.125" style="1" hidden="1"/>
    <col min="2819" max="2819" width="8.125" style="1" hidden="1"/>
    <col min="2820" max="2820" width="9.125" style="1" hidden="1"/>
    <col min="2821" max="2821" width="9.75" style="1" hidden="1"/>
    <col min="2822" max="2822" width="11.125" style="1" hidden="1"/>
    <col min="2823" max="2823" width="10.375" style="1" hidden="1"/>
    <col min="2824" max="2824" width="10.5" style="1" hidden="1"/>
    <col min="2825" max="3073" width="9" style="1" hidden="1"/>
    <col min="3074" max="3074" width="28.125" style="1" hidden="1"/>
    <col min="3075" max="3075" width="8.125" style="1" hidden="1"/>
    <col min="3076" max="3076" width="9.125" style="1" hidden="1"/>
    <col min="3077" max="3077" width="9.75" style="1" hidden="1"/>
    <col min="3078" max="3078" width="11.125" style="1" hidden="1"/>
    <col min="3079" max="3079" width="10.375" style="1" hidden="1"/>
    <col min="3080" max="3080" width="10.5" style="1" hidden="1"/>
    <col min="3081" max="3329" width="8" style="1" hidden="1"/>
    <col min="3330" max="3330" width="28.125" style="1" hidden="1"/>
    <col min="3331" max="3331" width="8.125" style="1" hidden="1"/>
    <col min="3332" max="3332" width="9.125" style="1" hidden="1"/>
    <col min="3333" max="3333" width="9.75" style="1" hidden="1"/>
    <col min="3334" max="3334" width="11.125" style="1" hidden="1"/>
    <col min="3335" max="3335" width="10.375" style="1" hidden="1"/>
    <col min="3336" max="3336" width="10.5" style="1" hidden="1"/>
    <col min="3337" max="3585" width="8" style="1" hidden="1"/>
    <col min="3586" max="3586" width="28.125" style="1" hidden="1"/>
    <col min="3587" max="3587" width="8.125" style="1" hidden="1"/>
    <col min="3588" max="3588" width="9.125" style="1" hidden="1"/>
    <col min="3589" max="3589" width="9.75" style="1" hidden="1"/>
    <col min="3590" max="3590" width="11.125" style="1" hidden="1"/>
    <col min="3591" max="3591" width="10.375" style="1" hidden="1"/>
    <col min="3592" max="3592" width="10.5" style="1" hidden="1"/>
    <col min="3593" max="3841" width="8" style="1" hidden="1"/>
    <col min="3842" max="3842" width="28.125" style="1" hidden="1"/>
    <col min="3843" max="3843" width="8.125" style="1" hidden="1"/>
    <col min="3844" max="3844" width="9.125" style="1" hidden="1"/>
    <col min="3845" max="3845" width="9.75" style="1" hidden="1"/>
    <col min="3846" max="3846" width="11.125" style="1" hidden="1"/>
    <col min="3847" max="3847" width="10.375" style="1" hidden="1"/>
    <col min="3848" max="3848" width="10.5" style="1" hidden="1"/>
    <col min="3849" max="4097" width="9" style="1" hidden="1"/>
    <col min="4098" max="4098" width="28.125" style="1" hidden="1"/>
    <col min="4099" max="4099" width="8.125" style="1" hidden="1"/>
    <col min="4100" max="4100" width="9.125" style="1" hidden="1"/>
    <col min="4101" max="4101" width="9.75" style="1" hidden="1"/>
    <col min="4102" max="4102" width="11.125" style="1" hidden="1"/>
    <col min="4103" max="4103" width="10.375" style="1" hidden="1"/>
    <col min="4104" max="4104" width="10.5" style="1" hidden="1"/>
    <col min="4105" max="4353" width="8" style="1" hidden="1"/>
    <col min="4354" max="4354" width="28.125" style="1" hidden="1"/>
    <col min="4355" max="4355" width="8.125" style="1" hidden="1"/>
    <col min="4356" max="4356" width="9.125" style="1" hidden="1"/>
    <col min="4357" max="4357" width="9.75" style="1" hidden="1"/>
    <col min="4358" max="4358" width="11.125" style="1" hidden="1"/>
    <col min="4359" max="4359" width="10.375" style="1" hidden="1"/>
    <col min="4360" max="4360" width="10.5" style="1" hidden="1"/>
    <col min="4361" max="4609" width="8" style="1" hidden="1"/>
    <col min="4610" max="4610" width="28.125" style="1" hidden="1"/>
    <col min="4611" max="4611" width="8.125" style="1" hidden="1"/>
    <col min="4612" max="4612" width="9.125" style="1" hidden="1"/>
    <col min="4613" max="4613" width="9.75" style="1" hidden="1"/>
    <col min="4614" max="4614" width="11.125" style="1" hidden="1"/>
    <col min="4615" max="4615" width="10.375" style="1" hidden="1"/>
    <col min="4616" max="4616" width="10.5" style="1" hidden="1"/>
    <col min="4617" max="4865" width="8" style="1" hidden="1"/>
    <col min="4866" max="4866" width="28.125" style="1" hidden="1"/>
    <col min="4867" max="4867" width="8.125" style="1" hidden="1"/>
    <col min="4868" max="4868" width="9.125" style="1" hidden="1"/>
    <col min="4869" max="4869" width="9.75" style="1" hidden="1"/>
    <col min="4870" max="4870" width="11.125" style="1" hidden="1"/>
    <col min="4871" max="4871" width="10.375" style="1" hidden="1"/>
    <col min="4872" max="4872" width="10.5" style="1" hidden="1"/>
    <col min="4873" max="5121" width="9" style="1" hidden="1"/>
    <col min="5122" max="5122" width="28.125" style="1" hidden="1"/>
    <col min="5123" max="5123" width="8.125" style="1" hidden="1"/>
    <col min="5124" max="5124" width="9.125" style="1" hidden="1"/>
    <col min="5125" max="5125" width="9.75" style="1" hidden="1"/>
    <col min="5126" max="5126" width="11.125" style="1" hidden="1"/>
    <col min="5127" max="5127" width="10.375" style="1" hidden="1"/>
    <col min="5128" max="5128" width="10.5" style="1" hidden="1"/>
    <col min="5129" max="5377" width="8" style="1" hidden="1"/>
    <col min="5378" max="5378" width="28.125" style="1" hidden="1"/>
    <col min="5379" max="5379" width="8.125" style="1" hidden="1"/>
    <col min="5380" max="5380" width="9.125" style="1" hidden="1"/>
    <col min="5381" max="5381" width="9.75" style="1" hidden="1"/>
    <col min="5382" max="5382" width="11.125" style="1" hidden="1"/>
    <col min="5383" max="5383" width="10.375" style="1" hidden="1"/>
    <col min="5384" max="5384" width="10.5" style="1" hidden="1"/>
    <col min="5385" max="5633" width="8" style="1" hidden="1"/>
    <col min="5634" max="5634" width="28.125" style="1" hidden="1"/>
    <col min="5635" max="5635" width="8.125" style="1" hidden="1"/>
    <col min="5636" max="5636" width="9.125" style="1" hidden="1"/>
    <col min="5637" max="5637" width="9.75" style="1" hidden="1"/>
    <col min="5638" max="5638" width="11.125" style="1" hidden="1"/>
    <col min="5639" max="5639" width="10.375" style="1" hidden="1"/>
    <col min="5640" max="5640" width="10.5" style="1" hidden="1"/>
    <col min="5641" max="5889" width="8" style="1" hidden="1"/>
    <col min="5890" max="5890" width="28.125" style="1" hidden="1"/>
    <col min="5891" max="5891" width="8.125" style="1" hidden="1"/>
    <col min="5892" max="5892" width="9.125" style="1" hidden="1"/>
    <col min="5893" max="5893" width="9.75" style="1" hidden="1"/>
    <col min="5894" max="5894" width="11.125" style="1" hidden="1"/>
    <col min="5895" max="5895" width="10.375" style="1" hidden="1"/>
    <col min="5896" max="5896" width="10.5" style="1" hidden="1"/>
    <col min="5897" max="6145" width="9" style="1" hidden="1"/>
    <col min="6146" max="6146" width="28.125" style="1" hidden="1"/>
    <col min="6147" max="6147" width="8.125" style="1" hidden="1"/>
    <col min="6148" max="6148" width="9.125" style="1" hidden="1"/>
    <col min="6149" max="6149" width="9.75" style="1" hidden="1"/>
    <col min="6150" max="6150" width="11.125" style="1" hidden="1"/>
    <col min="6151" max="6151" width="10.375" style="1" hidden="1"/>
    <col min="6152" max="6152" width="10.5" style="1" hidden="1"/>
    <col min="6153" max="6401" width="8" style="1" hidden="1"/>
    <col min="6402" max="6402" width="28.125" style="1" hidden="1"/>
    <col min="6403" max="6403" width="8.125" style="1" hidden="1"/>
    <col min="6404" max="6404" width="9.125" style="1" hidden="1"/>
    <col min="6405" max="6405" width="9.75" style="1" hidden="1"/>
    <col min="6406" max="6406" width="11.125" style="1" hidden="1"/>
    <col min="6407" max="6407" width="10.375" style="1" hidden="1"/>
    <col min="6408" max="6408" width="10.5" style="1" hidden="1"/>
    <col min="6409" max="6657" width="8" style="1" hidden="1"/>
    <col min="6658" max="6658" width="28.125" style="1" hidden="1"/>
    <col min="6659" max="6659" width="8.125" style="1" hidden="1"/>
    <col min="6660" max="6660" width="9.125" style="1" hidden="1"/>
    <col min="6661" max="6661" width="9.75" style="1" hidden="1"/>
    <col min="6662" max="6662" width="11.125" style="1" hidden="1"/>
    <col min="6663" max="6663" width="10.375" style="1" hidden="1"/>
    <col min="6664" max="6664" width="10.5" style="1" hidden="1"/>
    <col min="6665" max="6913" width="8" style="1" hidden="1"/>
    <col min="6914" max="6914" width="28.125" style="1" hidden="1"/>
    <col min="6915" max="6915" width="8.125" style="1" hidden="1"/>
    <col min="6916" max="6916" width="9.125" style="1" hidden="1"/>
    <col min="6917" max="6917" width="9.75" style="1" hidden="1"/>
    <col min="6918" max="6918" width="11.125" style="1" hidden="1"/>
    <col min="6919" max="6919" width="10.375" style="1" hidden="1"/>
    <col min="6920" max="6920" width="10.5" style="1" hidden="1"/>
    <col min="6921" max="7169" width="9" style="1" hidden="1"/>
    <col min="7170" max="7170" width="28.125" style="1" hidden="1"/>
    <col min="7171" max="7171" width="8.125" style="1" hidden="1"/>
    <col min="7172" max="7172" width="9.125" style="1" hidden="1"/>
    <col min="7173" max="7173" width="9.75" style="1" hidden="1"/>
    <col min="7174" max="7174" width="11.125" style="1" hidden="1"/>
    <col min="7175" max="7175" width="10.375" style="1" hidden="1"/>
    <col min="7176" max="7176" width="10.5" style="1" hidden="1"/>
    <col min="7177" max="7425" width="8" style="1" hidden="1"/>
    <col min="7426" max="7426" width="28.125" style="1" hidden="1"/>
    <col min="7427" max="7427" width="8.125" style="1" hidden="1"/>
    <col min="7428" max="7428" width="9.125" style="1" hidden="1"/>
    <col min="7429" max="7429" width="9.75" style="1" hidden="1"/>
    <col min="7430" max="7430" width="11.125" style="1" hidden="1"/>
    <col min="7431" max="7431" width="10.375" style="1" hidden="1"/>
    <col min="7432" max="7432" width="10.5" style="1" hidden="1"/>
    <col min="7433" max="7681" width="8" style="1" hidden="1"/>
    <col min="7682" max="7682" width="28.125" style="1" hidden="1"/>
    <col min="7683" max="7683" width="8.125" style="1" hidden="1"/>
    <col min="7684" max="7684" width="9.125" style="1" hidden="1"/>
    <col min="7685" max="7685" width="9.75" style="1" hidden="1"/>
    <col min="7686" max="7686" width="11.125" style="1" hidden="1"/>
    <col min="7687" max="7687" width="10.375" style="1" hidden="1"/>
    <col min="7688" max="7688" width="10.5" style="1" hidden="1"/>
    <col min="7689" max="7937" width="8" style="1" hidden="1"/>
    <col min="7938" max="7938" width="28.125" style="1" hidden="1"/>
    <col min="7939" max="7939" width="8.125" style="1" hidden="1"/>
    <col min="7940" max="7940" width="9.125" style="1" hidden="1"/>
    <col min="7941" max="7941" width="9.75" style="1" hidden="1"/>
    <col min="7942" max="7942" width="11.125" style="1" hidden="1"/>
    <col min="7943" max="7943" width="10.375" style="1" hidden="1"/>
    <col min="7944" max="7944" width="10.5" style="1" hidden="1"/>
    <col min="7945" max="8193" width="9" style="1" hidden="1"/>
    <col min="8194" max="8194" width="28.125" style="1" hidden="1"/>
    <col min="8195" max="8195" width="8.125" style="1" hidden="1"/>
    <col min="8196" max="8196" width="9.125" style="1" hidden="1"/>
    <col min="8197" max="8197" width="9.75" style="1" hidden="1"/>
    <col min="8198" max="8198" width="11.125" style="1" hidden="1"/>
    <col min="8199" max="8199" width="10.375" style="1" hidden="1"/>
    <col min="8200" max="8200" width="10.5" style="1" hidden="1"/>
    <col min="8201" max="8449" width="8" style="1" hidden="1"/>
    <col min="8450" max="8450" width="28.125" style="1" hidden="1"/>
    <col min="8451" max="8451" width="8.125" style="1" hidden="1"/>
    <col min="8452" max="8452" width="9.125" style="1" hidden="1"/>
    <col min="8453" max="8453" width="9.75" style="1" hidden="1"/>
    <col min="8454" max="8454" width="11.125" style="1" hidden="1"/>
    <col min="8455" max="8455" width="10.375" style="1" hidden="1"/>
    <col min="8456" max="8456" width="10.5" style="1" hidden="1"/>
    <col min="8457" max="8705" width="8" style="1" hidden="1"/>
    <col min="8706" max="8706" width="28.125" style="1" hidden="1"/>
    <col min="8707" max="8707" width="8.125" style="1" hidden="1"/>
    <col min="8708" max="8708" width="9.125" style="1" hidden="1"/>
    <col min="8709" max="8709" width="9.75" style="1" hidden="1"/>
    <col min="8710" max="8710" width="11.125" style="1" hidden="1"/>
    <col min="8711" max="8711" width="10.375" style="1" hidden="1"/>
    <col min="8712" max="8712" width="10.5" style="1" hidden="1"/>
    <col min="8713" max="8961" width="8" style="1" hidden="1"/>
    <col min="8962" max="8962" width="28.125" style="1" hidden="1"/>
    <col min="8963" max="8963" width="8.125" style="1" hidden="1"/>
    <col min="8964" max="8964" width="9.125" style="1" hidden="1"/>
    <col min="8965" max="8965" width="9.75" style="1" hidden="1"/>
    <col min="8966" max="8966" width="11.125" style="1" hidden="1"/>
    <col min="8967" max="8967" width="10.375" style="1" hidden="1"/>
    <col min="8968" max="8968" width="10.5" style="1" hidden="1"/>
    <col min="8969" max="9217" width="9" style="1" hidden="1"/>
    <col min="9218" max="9218" width="28.125" style="1" hidden="1"/>
    <col min="9219" max="9219" width="8.125" style="1" hidden="1"/>
    <col min="9220" max="9220" width="9.125" style="1" hidden="1"/>
    <col min="9221" max="9221" width="9.75" style="1" hidden="1"/>
    <col min="9222" max="9222" width="11.125" style="1" hidden="1"/>
    <col min="9223" max="9223" width="10.375" style="1" hidden="1"/>
    <col min="9224" max="9224" width="10.5" style="1" hidden="1"/>
    <col min="9225" max="9473" width="8" style="1" hidden="1"/>
    <col min="9474" max="9474" width="28.125" style="1" hidden="1"/>
    <col min="9475" max="9475" width="8.125" style="1" hidden="1"/>
    <col min="9476" max="9476" width="9.125" style="1" hidden="1"/>
    <col min="9477" max="9477" width="9.75" style="1" hidden="1"/>
    <col min="9478" max="9478" width="11.125" style="1" hidden="1"/>
    <col min="9479" max="9479" width="10.375" style="1" hidden="1"/>
    <col min="9480" max="9480" width="10.5" style="1" hidden="1"/>
    <col min="9481" max="9729" width="8" style="1" hidden="1"/>
    <col min="9730" max="9730" width="28.125" style="1" hidden="1"/>
    <col min="9731" max="9731" width="8.125" style="1" hidden="1"/>
    <col min="9732" max="9732" width="9.125" style="1" hidden="1"/>
    <col min="9733" max="9733" width="9.75" style="1" hidden="1"/>
    <col min="9734" max="9734" width="11.125" style="1" hidden="1"/>
    <col min="9735" max="9735" width="10.375" style="1" hidden="1"/>
    <col min="9736" max="9736" width="10.5" style="1" hidden="1"/>
    <col min="9737" max="9985" width="8" style="1" hidden="1"/>
    <col min="9986" max="9986" width="28.125" style="1" hidden="1"/>
    <col min="9987" max="9987" width="8.125" style="1" hidden="1"/>
    <col min="9988" max="9988" width="9.125" style="1" hidden="1"/>
    <col min="9989" max="9989" width="9.75" style="1" hidden="1"/>
    <col min="9990" max="9990" width="11.125" style="1" hidden="1"/>
    <col min="9991" max="9991" width="10.375" style="1" hidden="1"/>
    <col min="9992" max="9992" width="10.5" style="1" hidden="1"/>
    <col min="9993" max="10241" width="9" style="1" hidden="1"/>
    <col min="10242" max="10242" width="28.125" style="1" hidden="1"/>
    <col min="10243" max="10243" width="8.125" style="1" hidden="1"/>
    <col min="10244" max="10244" width="9.125" style="1" hidden="1"/>
    <col min="10245" max="10245" width="9.75" style="1" hidden="1"/>
    <col min="10246" max="10246" width="11.125" style="1" hidden="1"/>
    <col min="10247" max="10247" width="10.375" style="1" hidden="1"/>
    <col min="10248" max="10248" width="10.5" style="1" hidden="1"/>
    <col min="10249" max="10497" width="8" style="1" hidden="1"/>
    <col min="10498" max="10498" width="28.125" style="1" hidden="1"/>
    <col min="10499" max="10499" width="8.125" style="1" hidden="1"/>
    <col min="10500" max="10500" width="9.125" style="1" hidden="1"/>
    <col min="10501" max="10501" width="9.75" style="1" hidden="1"/>
    <col min="10502" max="10502" width="11.125" style="1" hidden="1"/>
    <col min="10503" max="10503" width="10.375" style="1" hidden="1"/>
    <col min="10504" max="10504" width="10.5" style="1" hidden="1"/>
    <col min="10505" max="10753" width="8" style="1" hidden="1"/>
    <col min="10754" max="10754" width="28.125" style="1" hidden="1"/>
    <col min="10755" max="10755" width="8.125" style="1" hidden="1"/>
    <col min="10756" max="10756" width="9.125" style="1" hidden="1"/>
    <col min="10757" max="10757" width="9.75" style="1" hidden="1"/>
    <col min="10758" max="10758" width="11.125" style="1" hidden="1"/>
    <col min="10759" max="10759" width="10.375" style="1" hidden="1"/>
    <col min="10760" max="10760" width="10.5" style="1" hidden="1"/>
    <col min="10761" max="11009" width="8" style="1" hidden="1"/>
    <col min="11010" max="11010" width="28.125" style="1" hidden="1"/>
    <col min="11011" max="11011" width="8.125" style="1" hidden="1"/>
    <col min="11012" max="11012" width="9.125" style="1" hidden="1"/>
    <col min="11013" max="11013" width="9.75" style="1" hidden="1"/>
    <col min="11014" max="11014" width="11.125" style="1" hidden="1"/>
    <col min="11015" max="11015" width="10.375" style="1" hidden="1"/>
    <col min="11016" max="11016" width="10.5" style="1" hidden="1"/>
    <col min="11017" max="11265" width="9" style="1" hidden="1"/>
    <col min="11266" max="11266" width="28.125" style="1" hidden="1"/>
    <col min="11267" max="11267" width="8.125" style="1" hidden="1"/>
    <col min="11268" max="11268" width="9.125" style="1" hidden="1"/>
    <col min="11269" max="11269" width="9.75" style="1" hidden="1"/>
    <col min="11270" max="11270" width="11.125" style="1" hidden="1"/>
    <col min="11271" max="11271" width="10.375" style="1" hidden="1"/>
    <col min="11272" max="11272" width="10.5" style="1" hidden="1"/>
    <col min="11273" max="11521" width="8" style="1" hidden="1"/>
    <col min="11522" max="11522" width="28.125" style="1" hidden="1"/>
    <col min="11523" max="11523" width="8.125" style="1" hidden="1"/>
    <col min="11524" max="11524" width="9.125" style="1" hidden="1"/>
    <col min="11525" max="11525" width="9.75" style="1" hidden="1"/>
    <col min="11526" max="11526" width="11.125" style="1" hidden="1"/>
    <col min="11527" max="11527" width="10.375" style="1" hidden="1"/>
    <col min="11528" max="11528" width="10.5" style="1" hidden="1"/>
    <col min="11529" max="11777" width="8" style="1" hidden="1"/>
    <col min="11778" max="11778" width="28.125" style="1" hidden="1"/>
    <col min="11779" max="11779" width="8.125" style="1" hidden="1"/>
    <col min="11780" max="11780" width="9.125" style="1" hidden="1"/>
    <col min="11781" max="11781" width="9.75" style="1" hidden="1"/>
    <col min="11782" max="11782" width="11.125" style="1" hidden="1"/>
    <col min="11783" max="11783" width="10.375" style="1" hidden="1"/>
    <col min="11784" max="11784" width="10.5" style="1" hidden="1"/>
    <col min="11785" max="12033" width="8" style="1" hidden="1"/>
    <col min="12034" max="12034" width="28.125" style="1" hidden="1"/>
    <col min="12035" max="12035" width="8.125" style="1" hidden="1"/>
    <col min="12036" max="12036" width="9.125" style="1" hidden="1"/>
    <col min="12037" max="12037" width="9.75" style="1" hidden="1"/>
    <col min="12038" max="12038" width="11.125" style="1" hidden="1"/>
    <col min="12039" max="12039" width="10.375" style="1" hidden="1"/>
    <col min="12040" max="12040" width="10.5" style="1" hidden="1"/>
    <col min="12041" max="12289" width="9" style="1" hidden="1"/>
    <col min="12290" max="12290" width="28.125" style="1" hidden="1"/>
    <col min="12291" max="12291" width="8.125" style="1" hidden="1"/>
    <col min="12292" max="12292" width="9.125" style="1" hidden="1"/>
    <col min="12293" max="12293" width="9.75" style="1" hidden="1"/>
    <col min="12294" max="12294" width="11.125" style="1" hidden="1"/>
    <col min="12295" max="12295" width="10.375" style="1" hidden="1"/>
    <col min="12296" max="12296" width="10.5" style="1" hidden="1"/>
    <col min="12297" max="12545" width="8" style="1" hidden="1"/>
    <col min="12546" max="12546" width="28.125" style="1" hidden="1"/>
    <col min="12547" max="12547" width="8.125" style="1" hidden="1"/>
    <col min="12548" max="12548" width="9.125" style="1" hidden="1"/>
    <col min="12549" max="12549" width="9.75" style="1" hidden="1"/>
    <col min="12550" max="12550" width="11.125" style="1" hidden="1"/>
    <col min="12551" max="12551" width="10.375" style="1" hidden="1"/>
    <col min="12552" max="12552" width="10.5" style="1" hidden="1"/>
    <col min="12553" max="12801" width="8" style="1" hidden="1"/>
    <col min="12802" max="12802" width="28.125" style="1" hidden="1"/>
    <col min="12803" max="12803" width="8.125" style="1" hidden="1"/>
    <col min="12804" max="12804" width="9.125" style="1" hidden="1"/>
    <col min="12805" max="12805" width="9.75" style="1" hidden="1"/>
    <col min="12806" max="12806" width="11.125" style="1" hidden="1"/>
    <col min="12807" max="12807" width="10.375" style="1" hidden="1"/>
    <col min="12808" max="12808" width="10.5" style="1" hidden="1"/>
    <col min="12809" max="13057" width="8" style="1" hidden="1"/>
    <col min="13058" max="13058" width="28.125" style="1" hidden="1"/>
    <col min="13059" max="13059" width="8.125" style="1" hidden="1"/>
    <col min="13060" max="13060" width="9.125" style="1" hidden="1"/>
    <col min="13061" max="13061" width="9.75" style="1" hidden="1"/>
    <col min="13062" max="13062" width="11.125" style="1" hidden="1"/>
    <col min="13063" max="13063" width="10.375" style="1" hidden="1"/>
    <col min="13064" max="13064" width="10.5" style="1" hidden="1"/>
    <col min="13065" max="13313" width="9" style="1" hidden="1"/>
    <col min="13314" max="13314" width="28.125" style="1" hidden="1"/>
    <col min="13315" max="13315" width="8.125" style="1" hidden="1"/>
    <col min="13316" max="13316" width="9.125" style="1" hidden="1"/>
    <col min="13317" max="13317" width="9.75" style="1" hidden="1"/>
    <col min="13318" max="13318" width="11.125" style="1" hidden="1"/>
    <col min="13319" max="13319" width="10.375" style="1" hidden="1"/>
    <col min="13320" max="13320" width="10.5" style="1" hidden="1"/>
    <col min="13321" max="13569" width="8" style="1" hidden="1"/>
    <col min="13570" max="13570" width="28.125" style="1" hidden="1"/>
    <col min="13571" max="13571" width="8.125" style="1" hidden="1"/>
    <col min="13572" max="13572" width="9.125" style="1" hidden="1"/>
    <col min="13573" max="13573" width="9.75" style="1" hidden="1"/>
    <col min="13574" max="13574" width="11.125" style="1" hidden="1"/>
    <col min="13575" max="13575" width="10.375" style="1" hidden="1"/>
    <col min="13576" max="13576" width="10.5" style="1" hidden="1"/>
    <col min="13577" max="13825" width="8" style="1" hidden="1"/>
    <col min="13826" max="13826" width="28.125" style="1" hidden="1"/>
    <col min="13827" max="13827" width="8.125" style="1" hidden="1"/>
    <col min="13828" max="13828" width="9.125" style="1" hidden="1"/>
    <col min="13829" max="13829" width="9.75" style="1" hidden="1"/>
    <col min="13830" max="13830" width="11.125" style="1" hidden="1"/>
    <col min="13831" max="13831" width="10.375" style="1" hidden="1"/>
    <col min="13832" max="13832" width="10.5" style="1" hidden="1"/>
    <col min="13833" max="14081" width="8" style="1" hidden="1"/>
    <col min="14082" max="14082" width="28.125" style="1" hidden="1"/>
    <col min="14083" max="14083" width="8.125" style="1" hidden="1"/>
    <col min="14084" max="14084" width="9.125" style="1" hidden="1"/>
    <col min="14085" max="14085" width="9.75" style="1" hidden="1"/>
    <col min="14086" max="14086" width="11.125" style="1" hidden="1"/>
    <col min="14087" max="14087" width="10.375" style="1" hidden="1"/>
    <col min="14088" max="14088" width="10.5" style="1" hidden="1"/>
    <col min="14089" max="14337" width="9" style="1" hidden="1"/>
    <col min="14338" max="14338" width="28.125" style="1" hidden="1"/>
    <col min="14339" max="14339" width="8.125" style="1" hidden="1"/>
    <col min="14340" max="14340" width="9.125" style="1" hidden="1"/>
    <col min="14341" max="14341" width="9.75" style="1" hidden="1"/>
    <col min="14342" max="14342" width="11.125" style="1" hidden="1"/>
    <col min="14343" max="14343" width="10.375" style="1" hidden="1"/>
    <col min="14344" max="14344" width="10.5" style="1" hidden="1"/>
    <col min="14345" max="14593" width="8" style="1" hidden="1"/>
    <col min="14594" max="14594" width="28.125" style="1" hidden="1"/>
    <col min="14595" max="14595" width="8.125" style="1" hidden="1"/>
    <col min="14596" max="14596" width="9.125" style="1" hidden="1"/>
    <col min="14597" max="14597" width="9.75" style="1" hidden="1"/>
    <col min="14598" max="14598" width="11.125" style="1" hidden="1"/>
    <col min="14599" max="14599" width="10.375" style="1" hidden="1"/>
    <col min="14600" max="14600" width="10.5" style="1" hidden="1"/>
    <col min="14601" max="14849" width="8" style="1" hidden="1"/>
    <col min="14850" max="14850" width="28.125" style="1" hidden="1"/>
    <col min="14851" max="14851" width="8.125" style="1" hidden="1"/>
    <col min="14852" max="14852" width="9.125" style="1" hidden="1"/>
    <col min="14853" max="14853" width="9.75" style="1" hidden="1"/>
    <col min="14854" max="14854" width="11.125" style="1" hidden="1"/>
    <col min="14855" max="14855" width="10.375" style="1" hidden="1"/>
    <col min="14856" max="14856" width="10.5" style="1" hidden="1"/>
    <col min="14857" max="15105" width="8" style="1" hidden="1"/>
    <col min="15106" max="15106" width="28.125" style="1" hidden="1"/>
    <col min="15107" max="15107" width="8.125" style="1" hidden="1"/>
    <col min="15108" max="15108" width="9.125" style="1" hidden="1"/>
    <col min="15109" max="15109" width="9.75" style="1" hidden="1"/>
    <col min="15110" max="15110" width="11.125" style="1" hidden="1"/>
    <col min="15111" max="15111" width="10.375" style="1" hidden="1"/>
    <col min="15112" max="15112" width="10.5" style="1" hidden="1"/>
    <col min="15113" max="15361" width="9" style="1" hidden="1"/>
    <col min="15362" max="15362" width="28.125" style="1" hidden="1"/>
    <col min="15363" max="15363" width="8.125" style="1" hidden="1"/>
    <col min="15364" max="15364" width="9.125" style="1" hidden="1"/>
    <col min="15365" max="15365" width="9.75" style="1" hidden="1"/>
    <col min="15366" max="15366" width="11.125" style="1" hidden="1"/>
    <col min="15367" max="15367" width="10.375" style="1" hidden="1"/>
    <col min="15368" max="15368" width="10.5" style="1" hidden="1"/>
    <col min="15369" max="15617" width="8" style="1" hidden="1"/>
    <col min="15618" max="15618" width="28.125" style="1" hidden="1"/>
    <col min="15619" max="15619" width="8.125" style="1" hidden="1"/>
    <col min="15620" max="15620" width="9.125" style="1" hidden="1"/>
    <col min="15621" max="15621" width="9.75" style="1" hidden="1"/>
    <col min="15622" max="15622" width="11.125" style="1" hidden="1"/>
    <col min="15623" max="15623" width="10.375" style="1" hidden="1"/>
    <col min="15624" max="15624" width="10.5" style="1" hidden="1"/>
    <col min="15625" max="15873" width="8" style="1" hidden="1"/>
    <col min="15874" max="15874" width="28.125" style="1" hidden="1"/>
    <col min="15875" max="15875" width="8.125" style="1" hidden="1"/>
    <col min="15876" max="15876" width="9.125" style="1" hidden="1"/>
    <col min="15877" max="15877" width="9.75" style="1" hidden="1"/>
    <col min="15878" max="15878" width="11.125" style="1" hidden="1"/>
    <col min="15879" max="15879" width="10.375" style="1" hidden="1"/>
    <col min="15880" max="15880" width="10.5" style="1" hidden="1"/>
    <col min="15881" max="16129" width="8" style="1" hidden="1"/>
    <col min="16130" max="16130" width="28.125" style="1" hidden="1"/>
    <col min="16131" max="16131" width="8.125" style="1" hidden="1"/>
    <col min="16132" max="16132" width="9.125" style="1" hidden="1"/>
    <col min="16133" max="16133" width="9.75" style="1" hidden="1"/>
    <col min="16134" max="16134" width="11.125" style="1" hidden="1"/>
    <col min="16135" max="16135" width="10.375" style="1" hidden="1"/>
    <col min="16136" max="16136" width="10.5" style="1" hidden="1"/>
    <col min="16137" max="16384" width="9" style="1" hidden="1"/>
  </cols>
  <sheetData>
    <row r="1" spans="2:8" ht="15.95" customHeight="1">
      <c r="C1" s="7"/>
      <c r="E1" s="45" t="s">
        <v>29</v>
      </c>
      <c r="F1" s="156" t="s">
        <v>393</v>
      </c>
      <c r="H1" s="249"/>
    </row>
    <row r="2" spans="2:8" ht="15.95" customHeight="1" thickBot="1">
      <c r="B2" s="24"/>
      <c r="C2" s="227"/>
      <c r="E2" s="2"/>
      <c r="F2" s="4"/>
      <c r="G2" s="4"/>
      <c r="H2" s="4"/>
    </row>
    <row r="3" spans="2:8" ht="20.25" customHeight="1" thickBot="1">
      <c r="B3" s="308" t="s">
        <v>441</v>
      </c>
      <c r="C3" s="309"/>
      <c r="D3" s="309"/>
      <c r="E3" s="309"/>
      <c r="F3" s="310"/>
      <c r="G3" s="4"/>
      <c r="H3" s="4"/>
    </row>
    <row r="4" spans="2:8" ht="15.95" customHeight="1">
      <c r="B4" s="260"/>
      <c r="C4" s="261"/>
      <c r="D4" s="262"/>
      <c r="E4" s="263"/>
      <c r="F4" s="264"/>
      <c r="G4" s="9"/>
      <c r="H4" s="9"/>
    </row>
    <row r="5" spans="2:8" ht="15.95" customHeight="1">
      <c r="B5" s="44"/>
      <c r="C5" s="54" t="s">
        <v>12</v>
      </c>
      <c r="D5" s="54" t="s">
        <v>17</v>
      </c>
      <c r="E5" s="55" t="s">
        <v>474</v>
      </c>
      <c r="F5" s="56" t="s">
        <v>468</v>
      </c>
      <c r="G5" s="9"/>
      <c r="H5" s="9"/>
    </row>
    <row r="6" spans="2:8" ht="15.95" customHeight="1">
      <c r="B6" s="51" t="s">
        <v>467</v>
      </c>
      <c r="C6" s="41"/>
      <c r="D6" s="41"/>
      <c r="E6" s="9"/>
      <c r="F6" s="8"/>
      <c r="G6" s="9"/>
      <c r="H6" s="9"/>
    </row>
    <row r="7" spans="2:8" ht="15.95" customHeight="1">
      <c r="B7" s="11" t="s">
        <v>436</v>
      </c>
      <c r="C7" s="7" t="s">
        <v>366</v>
      </c>
      <c r="D7" s="203">
        <f>Inputs!H5</f>
        <v>18</v>
      </c>
      <c r="E7" s="265">
        <f>Inputs!H6</f>
        <v>48</v>
      </c>
      <c r="F7" s="153">
        <f>D7*E7</f>
        <v>864</v>
      </c>
      <c r="G7" s="2"/>
      <c r="H7" s="2"/>
    </row>
    <row r="8" spans="2:8" ht="15.95" customHeight="1">
      <c r="B8" s="11" t="s">
        <v>370</v>
      </c>
      <c r="C8" s="7"/>
      <c r="D8" s="46"/>
      <c r="E8" s="47"/>
      <c r="F8" s="155">
        <f>D8*E8</f>
        <v>0</v>
      </c>
      <c r="G8" s="2"/>
      <c r="H8" s="2"/>
    </row>
    <row r="9" spans="2:8" ht="15.95" customHeight="1">
      <c r="B9" s="43" t="s">
        <v>470</v>
      </c>
      <c r="C9" s="2"/>
      <c r="D9" s="13"/>
      <c r="E9" s="13"/>
      <c r="F9" s="152">
        <f>SUM(F7:F8)</f>
        <v>864</v>
      </c>
      <c r="G9" s="2"/>
      <c r="H9" s="2"/>
    </row>
    <row r="10" spans="2:8" ht="15.95" customHeight="1">
      <c r="B10" s="5"/>
      <c r="C10" s="2"/>
      <c r="D10" s="13"/>
      <c r="E10" s="2"/>
      <c r="F10" s="12"/>
      <c r="G10" s="2"/>
      <c r="H10" s="2"/>
    </row>
    <row r="11" spans="2:8" ht="15.95" customHeight="1">
      <c r="B11" s="52" t="s">
        <v>476</v>
      </c>
      <c r="C11" s="55" t="s">
        <v>32</v>
      </c>
      <c r="D11" s="55" t="s">
        <v>31</v>
      </c>
      <c r="E11" s="55" t="s">
        <v>475</v>
      </c>
      <c r="F11" s="56" t="s">
        <v>468</v>
      </c>
      <c r="G11" s="14"/>
      <c r="H11" s="14"/>
    </row>
    <row r="12" spans="2:8" ht="15.95" customHeight="1">
      <c r="B12" s="15" t="s">
        <v>33</v>
      </c>
      <c r="C12" s="266">
        <f>Inputs!H13</f>
        <v>30000</v>
      </c>
      <c r="D12" s="267">
        <f>Inputs!H16</f>
        <v>255</v>
      </c>
      <c r="F12" s="208">
        <f>C12*D12/80000</f>
        <v>95.625</v>
      </c>
      <c r="G12" s="2"/>
      <c r="H12" s="2"/>
    </row>
    <row r="13" spans="2:8" ht="15.95" customHeight="1">
      <c r="B13" s="15" t="s">
        <v>34</v>
      </c>
      <c r="C13" s="267"/>
      <c r="D13" s="268"/>
      <c r="E13" s="2"/>
      <c r="F13" s="208">
        <f>SUM(E14:E17)</f>
        <v>191.95999999999998</v>
      </c>
      <c r="G13" s="2"/>
      <c r="H13" s="2"/>
    </row>
    <row r="14" spans="2:8" ht="15.95" customHeight="1">
      <c r="B14" s="18" t="s">
        <v>35</v>
      </c>
      <c r="C14" s="269">
        <f>Inputs!H19</f>
        <v>184</v>
      </c>
      <c r="D14" s="268">
        <f>Inputs!H30</f>
        <v>0.46</v>
      </c>
      <c r="E14" s="2">
        <f>C14*D14</f>
        <v>84.64</v>
      </c>
      <c r="F14" s="153"/>
      <c r="G14" s="2"/>
      <c r="H14" s="2"/>
    </row>
    <row r="15" spans="2:8" ht="15.95" customHeight="1">
      <c r="B15" s="18" t="s">
        <v>36</v>
      </c>
      <c r="C15" s="269">
        <f>Inputs!H20</f>
        <v>59</v>
      </c>
      <c r="D15" s="268">
        <f>Inputs!D31</f>
        <v>0.62</v>
      </c>
      <c r="E15" s="2">
        <f t="shared" ref="E15:E17" si="0">C15*D15</f>
        <v>36.58</v>
      </c>
      <c r="F15" s="153"/>
      <c r="G15" s="2"/>
      <c r="H15" s="2"/>
    </row>
    <row r="16" spans="2:8" ht="15.95" customHeight="1">
      <c r="B16" s="18" t="s">
        <v>22</v>
      </c>
      <c r="C16" s="269">
        <f>Inputs!H21</f>
        <v>139</v>
      </c>
      <c r="D16" s="268">
        <f>Inputs!D32</f>
        <v>0.41</v>
      </c>
      <c r="E16" s="2">
        <f t="shared" si="0"/>
        <v>56.989999999999995</v>
      </c>
      <c r="F16" s="153"/>
      <c r="G16" s="2"/>
      <c r="H16" s="2"/>
    </row>
    <row r="17" spans="2:8" ht="15.95" customHeight="1">
      <c r="B17" s="18" t="s">
        <v>37</v>
      </c>
      <c r="C17" s="269">
        <f>Inputs!H22</f>
        <v>0.5</v>
      </c>
      <c r="D17" s="268">
        <f>Inputs!D33</f>
        <v>27.5</v>
      </c>
      <c r="E17" s="2">
        <f t="shared" si="0"/>
        <v>13.75</v>
      </c>
      <c r="F17" s="179"/>
      <c r="G17" s="2"/>
      <c r="H17" s="2"/>
    </row>
    <row r="18" spans="2:8" ht="15.95" customHeight="1">
      <c r="B18" s="15" t="s">
        <v>38</v>
      </c>
      <c r="C18" s="267"/>
      <c r="D18" s="268"/>
      <c r="E18" s="2"/>
      <c r="F18" s="208">
        <f>Inputs!H34</f>
        <v>72.63</v>
      </c>
      <c r="G18" s="2"/>
      <c r="H18" s="2"/>
    </row>
    <row r="19" spans="2:8" ht="15.95" customHeight="1">
      <c r="B19" s="15" t="s">
        <v>767</v>
      </c>
      <c r="C19" s="267"/>
      <c r="D19" s="268"/>
      <c r="E19" s="2"/>
      <c r="F19" s="180">
        <v>10</v>
      </c>
      <c r="G19" s="2"/>
      <c r="H19" s="2"/>
    </row>
    <row r="20" spans="2:8" ht="15.95" customHeight="1">
      <c r="B20" s="15" t="s">
        <v>39</v>
      </c>
      <c r="C20" s="267"/>
      <c r="D20" s="268"/>
      <c r="E20" s="2"/>
      <c r="F20" s="180">
        <v>0</v>
      </c>
      <c r="G20" s="2"/>
      <c r="H20" s="2"/>
    </row>
    <row r="21" spans="2:8" ht="15.95" customHeight="1">
      <c r="B21" s="15" t="s">
        <v>40</v>
      </c>
      <c r="C21" s="267"/>
      <c r="D21" s="268"/>
      <c r="E21" s="2"/>
      <c r="F21" s="153">
        <f>H61</f>
        <v>187.02</v>
      </c>
      <c r="G21" s="2"/>
      <c r="H21" s="2"/>
    </row>
    <row r="22" spans="2:8" ht="15.95" customHeight="1">
      <c r="B22" s="15" t="s">
        <v>743</v>
      </c>
      <c r="C22" s="2">
        <f>D73</f>
        <v>2.0965660725828794</v>
      </c>
      <c r="D22" s="13">
        <f>Inputs!D29</f>
        <v>4</v>
      </c>
      <c r="E22" s="2"/>
      <c r="F22" s="153">
        <f>C22*D22</f>
        <v>8.3862642903315177</v>
      </c>
      <c r="G22" s="2"/>
      <c r="H22" s="2"/>
    </row>
    <row r="23" spans="2:8" ht="15.95" customHeight="1">
      <c r="B23" s="15" t="s">
        <v>41</v>
      </c>
      <c r="D23" s="13"/>
      <c r="E23" s="2"/>
      <c r="F23" s="153">
        <f>E73-F22-(H53*C73)</f>
        <v>16.803752158789635</v>
      </c>
      <c r="G23" s="2"/>
      <c r="H23" s="2"/>
    </row>
    <row r="24" spans="2:8" ht="15.95" customHeight="1">
      <c r="B24" s="15" t="s">
        <v>42</v>
      </c>
      <c r="C24" s="2">
        <f>C73+Inputs!H23</f>
        <v>0.84049359980678662</v>
      </c>
      <c r="D24" s="13">
        <f>Inputs!D28</f>
        <v>17.309999999999999</v>
      </c>
      <c r="E24" s="2"/>
      <c r="F24" s="153">
        <f>D24*C24</f>
        <v>14.548944212655476</v>
      </c>
      <c r="G24" s="2"/>
      <c r="H24" s="2"/>
    </row>
    <row r="25" spans="2:8" ht="15.95" customHeight="1">
      <c r="B25" s="15" t="s">
        <v>43</v>
      </c>
      <c r="C25" s="267"/>
      <c r="D25" s="268"/>
      <c r="E25" s="2"/>
      <c r="F25" s="180">
        <v>0</v>
      </c>
      <c r="G25" s="2"/>
      <c r="H25" s="2"/>
    </row>
    <row r="26" spans="2:8" ht="15.95" customHeight="1">
      <c r="B26" s="15" t="s">
        <v>24</v>
      </c>
      <c r="C26" s="267">
        <f>SUM(F12:F25)/2</f>
        <v>298.48698033088829</v>
      </c>
      <c r="D26" s="245">
        <f>Inputs!D24</f>
        <v>0.09</v>
      </c>
      <c r="F26" s="155">
        <f>D26*C26</f>
        <v>26.863828229779944</v>
      </c>
      <c r="G26" s="2"/>
      <c r="H26" s="2"/>
    </row>
    <row r="27" spans="2:8" ht="15.95" customHeight="1">
      <c r="B27" s="43" t="s">
        <v>471</v>
      </c>
      <c r="C27" s="2"/>
      <c r="D27" s="13"/>
      <c r="E27" s="2"/>
      <c r="F27" s="152">
        <f>SUM(F12:F26)</f>
        <v>623.83778889155656</v>
      </c>
      <c r="G27" s="2"/>
      <c r="H27" s="2"/>
    </row>
    <row r="28" spans="2:8" ht="15.95" customHeight="1">
      <c r="B28" s="5"/>
      <c r="C28" s="2"/>
      <c r="D28" s="13"/>
      <c r="E28" s="2"/>
      <c r="F28" s="179"/>
      <c r="G28" s="2"/>
      <c r="H28" s="2"/>
    </row>
    <row r="29" spans="2:8" ht="15.95" customHeight="1">
      <c r="B29" s="52" t="s">
        <v>770</v>
      </c>
      <c r="C29" s="2"/>
      <c r="D29" s="13"/>
      <c r="E29" s="2"/>
      <c r="F29" s="153"/>
      <c r="G29" s="14"/>
      <c r="H29" s="14"/>
    </row>
    <row r="30" spans="2:8" ht="15.95" customHeight="1">
      <c r="B30" s="15" t="s">
        <v>28</v>
      </c>
      <c r="C30" s="4"/>
      <c r="D30" s="13"/>
      <c r="E30" s="2"/>
      <c r="F30" s="153">
        <f>Inputs!H37</f>
        <v>29.68</v>
      </c>
      <c r="G30" s="4"/>
      <c r="H30" s="4"/>
    </row>
    <row r="31" spans="2:8" ht="15.95" customHeight="1">
      <c r="B31" s="15" t="s">
        <v>749</v>
      </c>
      <c r="C31" s="2"/>
      <c r="D31" s="13"/>
      <c r="E31" s="2"/>
      <c r="F31" s="153">
        <f>F73</f>
        <v>49.96471323447274</v>
      </c>
      <c r="G31" s="2"/>
      <c r="H31" s="2"/>
    </row>
    <row r="32" spans="2:8" ht="15.95" customHeight="1">
      <c r="B32" s="15" t="s">
        <v>44</v>
      </c>
      <c r="C32" s="2"/>
      <c r="D32" s="13"/>
      <c r="E32" s="2"/>
      <c r="F32" s="155">
        <f>Inputs!H38</f>
        <v>155.20698472208568</v>
      </c>
      <c r="G32" s="2"/>
      <c r="H32" s="2"/>
    </row>
    <row r="33" spans="2:8" ht="15.95" customHeight="1">
      <c r="B33" s="43" t="s">
        <v>472</v>
      </c>
      <c r="C33" s="2"/>
      <c r="D33" s="13"/>
      <c r="E33" s="2"/>
      <c r="F33" s="152">
        <f>SUM(F30:F32)</f>
        <v>234.85169795655841</v>
      </c>
      <c r="G33" s="2"/>
      <c r="H33" s="2"/>
    </row>
    <row r="34" spans="2:8" ht="15.95" customHeight="1">
      <c r="B34" s="5"/>
      <c r="C34" s="2"/>
      <c r="D34" s="13"/>
      <c r="E34" s="2"/>
      <c r="F34" s="153"/>
      <c r="G34" s="2"/>
      <c r="H34" s="2"/>
    </row>
    <row r="35" spans="2:8" ht="15.95" customHeight="1">
      <c r="B35" s="48" t="s">
        <v>473</v>
      </c>
      <c r="C35" s="10"/>
      <c r="D35" s="19"/>
      <c r="E35" s="19"/>
      <c r="F35" s="154">
        <f>F27+F33</f>
        <v>858.68948684811494</v>
      </c>
      <c r="G35" s="14"/>
      <c r="H35" s="14"/>
    </row>
    <row r="36" spans="2:8" ht="15.95" customHeight="1">
      <c r="B36" s="5"/>
      <c r="C36" s="2"/>
      <c r="D36" s="13"/>
      <c r="E36" s="2"/>
      <c r="F36" s="153"/>
      <c r="G36" s="2"/>
      <c r="H36" s="2"/>
    </row>
    <row r="37" spans="2:8" ht="15.95" customHeight="1">
      <c r="B37" s="42" t="s">
        <v>768</v>
      </c>
      <c r="C37" s="2"/>
      <c r="D37" s="13"/>
      <c r="E37" s="2"/>
      <c r="F37" s="209">
        <f>F9-F27</f>
        <v>240.16221110844344</v>
      </c>
      <c r="G37" s="14"/>
      <c r="H37" s="14"/>
    </row>
    <row r="38" spans="2:8" ht="15.95" customHeight="1">
      <c r="B38" s="42" t="s">
        <v>769</v>
      </c>
      <c r="C38" s="2"/>
      <c r="D38" s="13"/>
      <c r="E38" s="2"/>
      <c r="F38" s="209">
        <f>F9-F35</f>
        <v>5.3105131518850612</v>
      </c>
      <c r="G38" s="4"/>
      <c r="H38" s="2"/>
    </row>
    <row r="39" spans="2:8" ht="15.95" customHeight="1">
      <c r="B39" s="210"/>
      <c r="C39" s="10"/>
      <c r="D39" s="19"/>
      <c r="E39" s="10"/>
      <c r="F39" s="155"/>
      <c r="G39" s="2"/>
      <c r="H39" s="2"/>
    </row>
    <row r="40" spans="2:8" ht="15.95" customHeight="1">
      <c r="B40" s="5"/>
      <c r="C40" s="2"/>
      <c r="D40" s="2" t="s">
        <v>371</v>
      </c>
      <c r="E40" s="2"/>
      <c r="F40" s="208">
        <f>F27/D7</f>
        <v>34.65765493841981</v>
      </c>
      <c r="G40" s="2"/>
      <c r="H40" s="2"/>
    </row>
    <row r="41" spans="2:8" ht="15.95" customHeight="1">
      <c r="B41" s="5"/>
      <c r="C41" s="2"/>
      <c r="D41" s="2" t="s">
        <v>372</v>
      </c>
      <c r="E41" s="2"/>
      <c r="F41" s="208">
        <f>F33/D7</f>
        <v>13.047316553142133</v>
      </c>
      <c r="G41" s="4"/>
      <c r="H41" s="4"/>
    </row>
    <row r="42" spans="2:8" ht="15.95" customHeight="1" thickBot="1">
      <c r="B42" s="20"/>
      <c r="C42" s="21"/>
      <c r="D42" s="21" t="s">
        <v>373</v>
      </c>
      <c r="E42" s="21"/>
      <c r="F42" s="211">
        <f>F35/D7</f>
        <v>47.704971491561942</v>
      </c>
      <c r="G42" s="2"/>
      <c r="H42" s="2"/>
    </row>
    <row r="43" spans="2:8" ht="15.95" customHeight="1">
      <c r="B43" s="4"/>
      <c r="C43" s="2"/>
      <c r="D43" s="13"/>
      <c r="E43" s="2"/>
      <c r="F43" s="4"/>
      <c r="G43" s="2"/>
      <c r="H43" s="2"/>
    </row>
    <row r="44" spans="2:8">
      <c r="B44" s="4"/>
      <c r="C44" s="2"/>
      <c r="D44" s="13"/>
      <c r="E44" s="2"/>
      <c r="F44" s="4"/>
      <c r="G44" s="2"/>
      <c r="H44" s="2"/>
    </row>
    <row r="45" spans="2:8">
      <c r="B45" s="49"/>
      <c r="C45" s="26"/>
      <c r="D45" s="165"/>
      <c r="E45" s="25"/>
      <c r="F45" s="25"/>
      <c r="G45" s="25"/>
      <c r="H45" s="49"/>
    </row>
    <row r="46" spans="2:8">
      <c r="B46" s="27" t="s">
        <v>378</v>
      </c>
      <c r="C46" s="28" t="s">
        <v>779</v>
      </c>
      <c r="D46" s="166"/>
      <c r="E46" s="27" t="s">
        <v>386</v>
      </c>
      <c r="F46" s="27"/>
      <c r="G46" s="137"/>
      <c r="H46" s="28" t="s">
        <v>399</v>
      </c>
    </row>
    <row r="47" spans="2:8">
      <c r="B47" s="49" t="s">
        <v>404</v>
      </c>
      <c r="C47" s="49">
        <f>D7</f>
        <v>18</v>
      </c>
      <c r="D47" s="49"/>
      <c r="E47" s="49" t="s">
        <v>408</v>
      </c>
      <c r="F47" s="49"/>
      <c r="G47" s="49"/>
      <c r="H47" s="171">
        <f>E7</f>
        <v>48</v>
      </c>
    </row>
    <row r="48" spans="2:8">
      <c r="B48" s="49" t="s">
        <v>405</v>
      </c>
      <c r="C48" s="246">
        <v>26000</v>
      </c>
      <c r="D48" s="49"/>
      <c r="E48" s="49" t="s">
        <v>409</v>
      </c>
      <c r="F48" s="49"/>
      <c r="G48" s="49"/>
      <c r="H48" s="171">
        <f>D12</f>
        <v>255</v>
      </c>
    </row>
    <row r="49" spans="2:8">
      <c r="B49" s="49" t="s">
        <v>406</v>
      </c>
      <c r="C49" s="167">
        <f>C14</f>
        <v>184</v>
      </c>
      <c r="D49" s="49"/>
      <c r="E49" s="49" t="s">
        <v>410</v>
      </c>
      <c r="F49" s="49"/>
      <c r="G49" s="49"/>
      <c r="H49" s="171">
        <f>D14</f>
        <v>0.46</v>
      </c>
    </row>
    <row r="50" spans="2:8">
      <c r="B50" s="49" t="s">
        <v>381</v>
      </c>
      <c r="C50" s="167">
        <f>C15</f>
        <v>59</v>
      </c>
      <c r="D50" s="49"/>
      <c r="E50" s="49" t="s">
        <v>411</v>
      </c>
      <c r="F50" s="49"/>
      <c r="G50" s="49"/>
      <c r="H50" s="171">
        <f>D15</f>
        <v>0.62</v>
      </c>
    </row>
    <row r="51" spans="2:8">
      <c r="B51" s="49" t="s">
        <v>407</v>
      </c>
      <c r="C51" s="167">
        <f>C16</f>
        <v>139</v>
      </c>
      <c r="D51" s="49"/>
      <c r="E51" s="49" t="s">
        <v>390</v>
      </c>
      <c r="F51" s="49"/>
      <c r="G51" s="49"/>
      <c r="H51" s="171">
        <f>D16</f>
        <v>0.41</v>
      </c>
    </row>
    <row r="52" spans="2:8">
      <c r="B52" s="49" t="s">
        <v>383</v>
      </c>
      <c r="C52" s="168">
        <f>C17</f>
        <v>0.5</v>
      </c>
      <c r="D52" s="49"/>
      <c r="E52" s="49" t="s">
        <v>391</v>
      </c>
      <c r="F52" s="49"/>
      <c r="G52" s="49"/>
      <c r="H52" s="171">
        <f>D17</f>
        <v>27.5</v>
      </c>
    </row>
    <row r="53" spans="2:8">
      <c r="B53" s="49" t="s">
        <v>384</v>
      </c>
      <c r="C53" s="169">
        <f>C24</f>
        <v>0.84049359980678662</v>
      </c>
      <c r="D53" s="49"/>
      <c r="E53" s="49" t="s">
        <v>802</v>
      </c>
      <c r="F53" s="49"/>
      <c r="G53" s="49"/>
      <c r="H53" s="173">
        <f>Inputs!D28</f>
        <v>17.309999999999999</v>
      </c>
    </row>
    <row r="54" spans="2:8">
      <c r="B54" s="49" t="s">
        <v>385</v>
      </c>
      <c r="C54" s="247">
        <f>D26</f>
        <v>0.09</v>
      </c>
      <c r="D54" s="49"/>
      <c r="E54" s="49" t="s">
        <v>392</v>
      </c>
      <c r="F54" s="49"/>
      <c r="G54" s="49"/>
      <c r="H54" s="173">
        <f>Inputs!D29</f>
        <v>4</v>
      </c>
    </row>
    <row r="55" spans="2:8">
      <c r="B55" s="49"/>
      <c r="C55" s="49"/>
      <c r="D55" s="49"/>
      <c r="E55" s="49"/>
      <c r="F55" s="49"/>
      <c r="G55" s="49"/>
      <c r="H55" s="173"/>
    </row>
    <row r="56" spans="2:8">
      <c r="B56" s="49"/>
      <c r="C56" s="49"/>
      <c r="D56" s="49"/>
      <c r="E56" s="49"/>
      <c r="F56" s="49"/>
      <c r="G56" s="49"/>
      <c r="H56" s="172"/>
    </row>
    <row r="57" spans="2:8">
      <c r="B57" s="49" t="s">
        <v>751</v>
      </c>
      <c r="C57" s="160" t="s">
        <v>756</v>
      </c>
      <c r="D57" s="49"/>
      <c r="E57" s="49"/>
      <c r="F57" s="49"/>
      <c r="G57" s="49"/>
      <c r="H57" s="49"/>
    </row>
    <row r="58" spans="2:8">
      <c r="B58" s="312" t="s">
        <v>480</v>
      </c>
      <c r="C58" s="312"/>
      <c r="D58" s="138" t="s">
        <v>698</v>
      </c>
      <c r="E58" s="174" t="s">
        <v>742</v>
      </c>
      <c r="F58" s="137" t="s">
        <v>753</v>
      </c>
      <c r="G58" s="137" t="s">
        <v>754</v>
      </c>
      <c r="H58" s="137" t="s">
        <v>755</v>
      </c>
    </row>
    <row r="59" spans="2:8">
      <c r="B59" s="316" t="str">
        <f>'Custom Hire'!B24</f>
        <v xml:space="preserve">Apply dry fertilizer on cropland, single spread </v>
      </c>
      <c r="C59" s="316"/>
      <c r="D59" s="218">
        <f>'Custom Hire'!E24</f>
        <v>1</v>
      </c>
      <c r="E59" s="144">
        <f>'Custom Hire'!C24</f>
        <v>7.02</v>
      </c>
      <c r="F59" s="145" t="str">
        <f>'Custom Hire'!D24</f>
        <v>per acre</v>
      </c>
      <c r="G59" s="49" t="str">
        <f>IF(F59="per acre","",$D$7)</f>
        <v/>
      </c>
      <c r="H59" s="146">
        <f>E59*MAX(D59,G59)</f>
        <v>7.02</v>
      </c>
    </row>
    <row r="60" spans="2:8">
      <c r="B60" s="315" t="str">
        <f>'Custom Hire'!B25</f>
        <v xml:space="preserve">Silage chopping </v>
      </c>
      <c r="C60" s="315"/>
      <c r="D60" s="220">
        <f>'Custom Hire'!E25</f>
        <v>0</v>
      </c>
      <c r="E60" s="147">
        <f>'Custom Hire'!C25</f>
        <v>10</v>
      </c>
      <c r="F60" s="137" t="str">
        <f>'Custom Hire'!D25</f>
        <v>per ton</v>
      </c>
      <c r="G60" s="137">
        <f>IF(F60="per acre","",$D$7)</f>
        <v>18</v>
      </c>
      <c r="H60" s="147">
        <f>E60*MAX(D60,G60)</f>
        <v>180</v>
      </c>
    </row>
    <row r="61" spans="2:8">
      <c r="B61" s="45" t="s">
        <v>468</v>
      </c>
      <c r="C61" s="139"/>
      <c r="D61" s="140"/>
      <c r="E61" s="139"/>
      <c r="F61" s="139"/>
      <c r="G61" s="139"/>
      <c r="H61" s="146">
        <f>SUM(H59:H60)</f>
        <v>187.02</v>
      </c>
    </row>
    <row r="62" spans="2:8">
      <c r="B62" s="49"/>
      <c r="C62" s="49"/>
      <c r="D62" s="49"/>
      <c r="E62" s="49"/>
      <c r="F62" s="49"/>
      <c r="G62" s="49"/>
      <c r="H62" s="49"/>
    </row>
    <row r="63" spans="2:8">
      <c r="B63" s="49" t="s">
        <v>772</v>
      </c>
      <c r="C63" s="160" t="s">
        <v>704</v>
      </c>
      <c r="D63" s="143"/>
      <c r="E63" s="30"/>
      <c r="F63" s="30"/>
      <c r="G63" s="30"/>
      <c r="H63" s="29"/>
    </row>
    <row r="64" spans="2:8">
      <c r="B64" s="25"/>
      <c r="C64" s="26" t="s">
        <v>394</v>
      </c>
      <c r="D64" s="26" t="s">
        <v>395</v>
      </c>
      <c r="E64" s="26" t="s">
        <v>422</v>
      </c>
      <c r="F64" s="26" t="s">
        <v>423</v>
      </c>
      <c r="G64" s="26"/>
      <c r="H64" s="26" t="s">
        <v>424</v>
      </c>
    </row>
    <row r="65" spans="2:8">
      <c r="B65" s="25"/>
      <c r="C65" s="26" t="s">
        <v>425</v>
      </c>
      <c r="D65" s="26" t="s">
        <v>426</v>
      </c>
      <c r="E65" s="26" t="s">
        <v>720</v>
      </c>
      <c r="F65" s="26" t="s">
        <v>433</v>
      </c>
      <c r="G65" s="26" t="s">
        <v>698</v>
      </c>
      <c r="H65" s="26" t="s">
        <v>427</v>
      </c>
    </row>
    <row r="66" spans="2:8">
      <c r="B66" s="27" t="s">
        <v>397</v>
      </c>
      <c r="C66" s="28" t="s">
        <v>398</v>
      </c>
      <c r="D66" s="28" t="s">
        <v>398</v>
      </c>
      <c r="E66" s="28" t="s">
        <v>428</v>
      </c>
      <c r="F66" s="28" t="s">
        <v>428</v>
      </c>
      <c r="G66" s="28" t="s">
        <v>398</v>
      </c>
      <c r="H66" s="28" t="s">
        <v>721</v>
      </c>
    </row>
    <row r="67" spans="2:8">
      <c r="B67" s="163" t="str">
        <f>CONCATENATE(Equipment!B81," - ",Equipment!C81)</f>
        <v>Boom sprayer - pull-type, 90 Ft Folding - 130 HP MFWD</v>
      </c>
      <c r="C67" s="130">
        <f>Equipment!E81</f>
        <v>2.7120315581854043E-2</v>
      </c>
      <c r="D67" s="130">
        <f>Equipment!D81</f>
        <v>0.13651282051282052</v>
      </c>
      <c r="E67" s="130">
        <f>Equipment!F81</f>
        <v>1.4904592175966394</v>
      </c>
      <c r="F67" s="130">
        <f>Equipment!G81</f>
        <v>5.1936276705683708</v>
      </c>
      <c r="G67" s="131">
        <f>Equipment!H81</f>
        <v>3</v>
      </c>
      <c r="H67" s="130">
        <f>Equipment!I81</f>
        <v>20.05226066449503</v>
      </c>
    </row>
    <row r="68" spans="2:8">
      <c r="B68" s="163" t="str">
        <f>CONCATENATE(Equipment!B82," - ",Equipment!C82)</f>
        <v>Anhydrous applicator, 21 Ft Folding - 160 HP MFWD</v>
      </c>
      <c r="C68" s="26">
        <f>Equipment!E82</f>
        <v>0.1173469387755102</v>
      </c>
      <c r="D68" s="26">
        <f>Equipment!D82</f>
        <v>0.7902040816326531</v>
      </c>
      <c r="E68" s="26">
        <f>Equipment!F82</f>
        <v>9.0727034955725543</v>
      </c>
      <c r="F68" s="26">
        <f>Equipment!G82</f>
        <v>7.6109645158367902</v>
      </c>
      <c r="G68" s="132">
        <f>Equipment!H82</f>
        <v>1</v>
      </c>
      <c r="H68" s="26">
        <f>Equipment!I82</f>
        <v>16.683668011409345</v>
      </c>
    </row>
    <row r="69" spans="2:8">
      <c r="B69" s="163" t="str">
        <f>CONCATENATE(Equipment!B83," - ",Equipment!C83)</f>
        <v>Field cultivator, 24 Ft Folding - 160 HP MFWD</v>
      </c>
      <c r="C69" s="26">
        <f>Equipment!E83</f>
        <v>5.8928571428571441E-2</v>
      </c>
      <c r="D69" s="26">
        <f>Equipment!D83</f>
        <v>0.44739495798319334</v>
      </c>
      <c r="E69" s="26">
        <f>Equipment!F83</f>
        <v>4.1498295034302108</v>
      </c>
      <c r="F69" s="26">
        <f>Equipment!G83</f>
        <v>5.0677011249654127</v>
      </c>
      <c r="G69" s="132">
        <f>Equipment!H83</f>
        <v>1</v>
      </c>
      <c r="H69" s="26">
        <f>Equipment!I83</f>
        <v>9.2175306283956235</v>
      </c>
    </row>
    <row r="70" spans="2:8">
      <c r="B70" s="163" t="str">
        <f>CONCATENATE(Equipment!B84," - ",Equipment!C84)</f>
        <v>Row crop planter, 30 Ft Folding - 130 HP MFWD</v>
      </c>
      <c r="C70" s="26">
        <f>Equipment!E84</f>
        <v>8.2857142857142865E-2</v>
      </c>
      <c r="D70" s="26">
        <f>Equipment!D84</f>
        <v>0.44942857142857146</v>
      </c>
      <c r="E70" s="26">
        <f>Equipment!F84</f>
        <v>6.3900500099839466</v>
      </c>
      <c r="F70" s="26">
        <f>Equipment!G84</f>
        <v>14.705164581965422</v>
      </c>
      <c r="G70" s="132">
        <f>Equipment!H84</f>
        <v>1</v>
      </c>
      <c r="H70" s="26">
        <f>Equipment!I84</f>
        <v>21.095214591949368</v>
      </c>
    </row>
    <row r="71" spans="2:8" s="22" customFormat="1">
      <c r="B71" s="163" t="str">
        <f>CONCATENATE(Equipment!B85," - ",Equipment!C85)</f>
        <v xml:space="preserve"> - </v>
      </c>
      <c r="C71" s="26" t="str">
        <f>Equipment!E85</f>
        <v/>
      </c>
      <c r="D71" s="26" t="str">
        <f>Equipment!D85</f>
        <v/>
      </c>
      <c r="E71" s="26" t="str">
        <f>Equipment!F85</f>
        <v/>
      </c>
      <c r="F71" s="26" t="str">
        <f>Equipment!G85</f>
        <v/>
      </c>
      <c r="G71" s="132">
        <f>Equipment!H85</f>
        <v>0</v>
      </c>
      <c r="H71" s="26" t="str">
        <f>Equipment!I85</f>
        <v/>
      </c>
    </row>
    <row r="72" spans="2:8">
      <c r="B72" s="164" t="str">
        <f>Equipment!B42</f>
        <v>Pickup truck</v>
      </c>
      <c r="C72" s="28"/>
      <c r="D72" s="28"/>
      <c r="E72" s="28">
        <f>Equipment!F42</f>
        <v>7</v>
      </c>
      <c r="F72" s="28">
        <f>Equipment!G42</f>
        <v>7</v>
      </c>
      <c r="G72" s="133"/>
      <c r="H72" s="28">
        <f>Equipment!I42</f>
        <v>14</v>
      </c>
    </row>
    <row r="73" spans="2:8">
      <c r="B73" s="26" t="s">
        <v>468</v>
      </c>
      <c r="C73" s="26">
        <f>SUMPRODUCT(C67:C71,$G$67:$G$71)</f>
        <v>0.34049359980678662</v>
      </c>
      <c r="D73" s="26">
        <f>SUMPRODUCT(D67:D71,$G$67:$G$71)</f>
        <v>2.0965660725828794</v>
      </c>
      <c r="E73" s="26">
        <f>SUMPRODUCT(E67:E71,$G$67:$G$71)+E72</f>
        <v>31.083960661776629</v>
      </c>
      <c r="F73" s="26">
        <f>SUMPRODUCT(F67:F71,$G$67:$G$71)+F72</f>
        <v>49.96471323447274</v>
      </c>
      <c r="G73" s="132">
        <f>SUM(G67:G71)</f>
        <v>6</v>
      </c>
      <c r="H73" s="26">
        <f>SUM(H67:H72)</f>
        <v>81.048673896249369</v>
      </c>
    </row>
    <row r="74" spans="2:8">
      <c r="B74" s="49" t="s">
        <v>776</v>
      </c>
      <c r="C74" s="49"/>
      <c r="D74" s="49"/>
      <c r="E74" s="49"/>
      <c r="F74" s="49"/>
      <c r="G74" s="49"/>
      <c r="H74" s="139"/>
    </row>
    <row r="75" spans="2:8">
      <c r="B75" s="49" t="s">
        <v>777</v>
      </c>
      <c r="C75" s="49"/>
      <c r="D75" s="49"/>
      <c r="E75" s="49"/>
      <c r="F75" s="49"/>
      <c r="G75" s="49"/>
      <c r="H75" s="169">
        <f>H73+H61</f>
        <v>268.06867389624938</v>
      </c>
    </row>
    <row r="76" spans="2:8">
      <c r="B76" s="49" t="s">
        <v>778</v>
      </c>
      <c r="C76" s="49"/>
      <c r="D76" s="49"/>
      <c r="E76" s="49"/>
      <c r="F76" s="49"/>
      <c r="G76" s="49"/>
      <c r="H76" s="49"/>
    </row>
    <row r="77" spans="2:8">
      <c r="B77" s="49"/>
      <c r="C77" s="49"/>
      <c r="D77" s="49"/>
      <c r="E77" s="49"/>
      <c r="F77" s="49"/>
      <c r="G77" s="49"/>
      <c r="H77" s="49"/>
    </row>
    <row r="78" spans="2:8">
      <c r="B78" s="49"/>
      <c r="C78" s="49"/>
      <c r="D78" s="49"/>
      <c r="E78" s="49"/>
      <c r="F78" s="49"/>
      <c r="G78" s="49"/>
      <c r="H78" s="49"/>
    </row>
    <row r="79" spans="2:8">
      <c r="B79" s="49" t="s">
        <v>725</v>
      </c>
      <c r="C79" s="49"/>
      <c r="D79" s="49"/>
      <c r="E79" s="49"/>
      <c r="F79" s="49"/>
      <c r="G79" s="49"/>
      <c r="H79" s="49"/>
    </row>
    <row r="80" spans="2:8">
      <c r="B80" s="49" t="s">
        <v>726</v>
      </c>
      <c r="C80" s="49"/>
      <c r="D80" s="49"/>
      <c r="E80" s="49"/>
      <c r="F80" s="49"/>
      <c r="G80" s="49"/>
      <c r="H80" s="49"/>
    </row>
    <row r="81" spans="2:8">
      <c r="B81" s="49" t="s">
        <v>727</v>
      </c>
      <c r="C81" s="49"/>
      <c r="D81" s="49"/>
      <c r="E81" s="49"/>
      <c r="F81" s="49"/>
      <c r="G81" s="49"/>
      <c r="H81" s="49"/>
    </row>
    <row r="82" spans="2:8">
      <c r="B82" s="49" t="s">
        <v>728</v>
      </c>
      <c r="C82" s="49"/>
      <c r="D82" s="49"/>
      <c r="E82" s="49"/>
      <c r="F82" s="49"/>
      <c r="G82" s="49"/>
      <c r="H82" s="49"/>
    </row>
    <row r="776" spans="2:3" hidden="1">
      <c r="B776" s="1" t="s">
        <v>48</v>
      </c>
    </row>
    <row r="777" spans="2:3" hidden="1">
      <c r="B777" s="1" t="s">
        <v>49</v>
      </c>
      <c r="C777" s="1">
        <v>6</v>
      </c>
    </row>
    <row r="778" spans="2:3" hidden="1">
      <c r="B778" s="1" t="s">
        <v>50</v>
      </c>
      <c r="C778" s="1">
        <v>1</v>
      </c>
    </row>
    <row r="779" spans="2:3" hidden="1">
      <c r="B779" s="1" t="s">
        <v>51</v>
      </c>
      <c r="C779" s="1">
        <v>1</v>
      </c>
    </row>
    <row r="780" spans="2:3" hidden="1">
      <c r="B780" s="1" t="s">
        <v>52</v>
      </c>
      <c r="C780" s="1">
        <v>2</v>
      </c>
    </row>
    <row r="781" spans="2:3" hidden="1">
      <c r="B781" s="1" t="s">
        <v>53</v>
      </c>
      <c r="C781" s="1">
        <v>1</v>
      </c>
    </row>
    <row r="782" spans="2:3" hidden="1">
      <c r="B782" s="1" t="s">
        <v>54</v>
      </c>
      <c r="C782" s="1">
        <v>0</v>
      </c>
    </row>
    <row r="783" spans="2:3" hidden="1">
      <c r="B783" s="1" t="s">
        <v>55</v>
      </c>
      <c r="C783" s="1">
        <v>0</v>
      </c>
    </row>
    <row r="784" spans="2:3" hidden="1">
      <c r="B784" s="1" t="s">
        <v>56</v>
      </c>
      <c r="C784" s="1">
        <v>0</v>
      </c>
    </row>
    <row r="785" spans="2:3" hidden="1">
      <c r="B785" s="1" t="s">
        <v>57</v>
      </c>
      <c r="C785" s="1">
        <v>0</v>
      </c>
    </row>
    <row r="786" spans="2:3" hidden="1">
      <c r="B786" s="1" t="s">
        <v>58</v>
      </c>
      <c r="C786" s="1">
        <v>0</v>
      </c>
    </row>
    <row r="787" spans="2:3" hidden="1">
      <c r="B787" s="1" t="s">
        <v>59</v>
      </c>
      <c r="C787" s="1">
        <v>0</v>
      </c>
    </row>
    <row r="788" spans="2:3" hidden="1">
      <c r="B788" s="1" t="s">
        <v>60</v>
      </c>
      <c r="C788" s="1" t="b">
        <v>1</v>
      </c>
    </row>
    <row r="789" spans="2:3" hidden="1">
      <c r="B789" s="1" t="s">
        <v>61</v>
      </c>
      <c r="C789" s="1">
        <v>0</v>
      </c>
    </row>
    <row r="790" spans="2:3" hidden="1">
      <c r="B790" s="1" t="s">
        <v>62</v>
      </c>
      <c r="C790" s="1" t="b">
        <v>1</v>
      </c>
    </row>
    <row r="791" spans="2:3" hidden="1">
      <c r="B791" s="1" t="s">
        <v>63</v>
      </c>
      <c r="C791" s="1">
        <v>0</v>
      </c>
    </row>
    <row r="792" spans="2:3" hidden="1">
      <c r="B792" s="1" t="s">
        <v>64</v>
      </c>
      <c r="C792" s="1">
        <v>0</v>
      </c>
    </row>
    <row r="793" spans="2:3" hidden="1">
      <c r="B793" s="1" t="s">
        <v>65</v>
      </c>
      <c r="C793" s="1">
        <v>0</v>
      </c>
    </row>
    <row r="794" spans="2:3" hidden="1">
      <c r="B794" s="1" t="s">
        <v>66</v>
      </c>
      <c r="C794" s="1">
        <v>0</v>
      </c>
    </row>
    <row r="795" spans="2:3" hidden="1">
      <c r="B795" s="1" t="s">
        <v>67</v>
      </c>
      <c r="C795" s="1">
        <v>0</v>
      </c>
    </row>
    <row r="796" spans="2:3" hidden="1">
      <c r="B796" s="1" t="s">
        <v>68</v>
      </c>
      <c r="C796" s="1">
        <v>0</v>
      </c>
    </row>
    <row r="797" spans="2:3" hidden="1">
      <c r="B797" s="1" t="s">
        <v>69</v>
      </c>
      <c r="C797" s="1">
        <v>0</v>
      </c>
    </row>
    <row r="798" spans="2:3" hidden="1">
      <c r="B798" s="1" t="s">
        <v>70</v>
      </c>
      <c r="C798" s="1" t="s">
        <v>71</v>
      </c>
    </row>
    <row r="799" spans="2:3" hidden="1">
      <c r="B799" s="1" t="s">
        <v>72</v>
      </c>
      <c r="C799" s="1">
        <v>100</v>
      </c>
    </row>
    <row r="800" spans="2:3" hidden="1">
      <c r="B800" s="1" t="s">
        <v>73</v>
      </c>
      <c r="C800" s="1">
        <v>55</v>
      </c>
    </row>
    <row r="801" spans="2:3" hidden="1">
      <c r="B801" s="1" t="s">
        <v>74</v>
      </c>
      <c r="C801" s="1">
        <v>5.3</v>
      </c>
    </row>
    <row r="802" spans="2:3" hidden="1">
      <c r="B802" s="1" t="s">
        <v>75</v>
      </c>
      <c r="C802" s="1">
        <v>0</v>
      </c>
    </row>
    <row r="803" spans="2:3" hidden="1">
      <c r="B803" s="1" t="s">
        <v>76</v>
      </c>
      <c r="C803" s="1">
        <v>0</v>
      </c>
    </row>
    <row r="804" spans="2:3" hidden="1">
      <c r="B804" s="1" t="s">
        <v>77</v>
      </c>
      <c r="C804" s="1">
        <v>0</v>
      </c>
    </row>
    <row r="805" spans="2:3" hidden="1">
      <c r="B805" s="1" t="s">
        <v>78</v>
      </c>
      <c r="C805" s="1">
        <v>0</v>
      </c>
    </row>
    <row r="806" spans="2:3" hidden="1">
      <c r="B806" s="1" t="s">
        <v>79</v>
      </c>
      <c r="C806" s="1">
        <v>0</v>
      </c>
    </row>
    <row r="807" spans="2:3" hidden="1">
      <c r="B807" s="1" t="s">
        <v>80</v>
      </c>
      <c r="C807" s="1">
        <v>0</v>
      </c>
    </row>
    <row r="808" spans="2:3" hidden="1">
      <c r="B808" s="1" t="s">
        <v>81</v>
      </c>
      <c r="C808" s="1">
        <v>0</v>
      </c>
    </row>
    <row r="809" spans="2:3" hidden="1">
      <c r="B809" s="1" t="s">
        <v>82</v>
      </c>
      <c r="C809" s="1">
        <v>18</v>
      </c>
    </row>
    <row r="810" spans="2:3" hidden="1">
      <c r="B810" s="1" t="s">
        <v>83</v>
      </c>
      <c r="C810" s="1">
        <v>0</v>
      </c>
    </row>
    <row r="811" spans="2:3" hidden="1">
      <c r="B811" s="1" t="s">
        <v>84</v>
      </c>
      <c r="C811" s="1">
        <v>0</v>
      </c>
    </row>
    <row r="812" spans="2:3" hidden="1">
      <c r="B812" s="1" t="s">
        <v>85</v>
      </c>
      <c r="C812" s="1">
        <v>0</v>
      </c>
    </row>
    <row r="813" spans="2:3" hidden="1">
      <c r="B813" s="1" t="s">
        <v>86</v>
      </c>
      <c r="C813" s="1">
        <v>0</v>
      </c>
    </row>
    <row r="814" spans="2:3" hidden="1">
      <c r="B814" s="1" t="s">
        <v>87</v>
      </c>
      <c r="C814" s="1">
        <v>0</v>
      </c>
    </row>
    <row r="815" spans="2:3" hidden="1">
      <c r="B815" s="1" t="s">
        <v>88</v>
      </c>
      <c r="C815" s="1">
        <v>100</v>
      </c>
    </row>
    <row r="816" spans="2:3" hidden="1">
      <c r="B816" s="1" t="s">
        <v>89</v>
      </c>
      <c r="C816" s="1">
        <v>0</v>
      </c>
    </row>
    <row r="817" spans="2:3" hidden="1">
      <c r="B817" s="1" t="s">
        <v>90</v>
      </c>
      <c r="C817" s="1">
        <v>0</v>
      </c>
    </row>
    <row r="818" spans="2:3" hidden="1">
      <c r="B818" s="1" t="s">
        <v>91</v>
      </c>
      <c r="C818" s="1">
        <v>0</v>
      </c>
    </row>
    <row r="819" spans="2:3" hidden="1">
      <c r="B819" s="1" t="s">
        <v>92</v>
      </c>
      <c r="C819" s="1">
        <v>75</v>
      </c>
    </row>
    <row r="820" spans="2:3" hidden="1">
      <c r="B820" s="1" t="s">
        <v>93</v>
      </c>
      <c r="C820" s="1">
        <v>0</v>
      </c>
    </row>
    <row r="821" spans="2:3" hidden="1">
      <c r="B821" s="1" t="s">
        <v>94</v>
      </c>
      <c r="C821" s="1">
        <v>35</v>
      </c>
    </row>
    <row r="822" spans="2:3" hidden="1">
      <c r="B822" s="1" t="s">
        <v>95</v>
      </c>
      <c r="C822" s="1">
        <v>20</v>
      </c>
    </row>
    <row r="823" spans="2:3" hidden="1">
      <c r="B823" s="1" t="s">
        <v>96</v>
      </c>
      <c r="C823" s="1">
        <v>0.5</v>
      </c>
    </row>
    <row r="824" spans="2:3" hidden="1">
      <c r="B824" s="1" t="s">
        <v>97</v>
      </c>
      <c r="C824" s="1">
        <v>10</v>
      </c>
    </row>
    <row r="825" spans="2:3" hidden="1">
      <c r="B825" s="1" t="s">
        <v>98</v>
      </c>
      <c r="C825" s="1">
        <v>0</v>
      </c>
    </row>
    <row r="826" spans="2:3" hidden="1">
      <c r="B826" s="1" t="s">
        <v>99</v>
      </c>
      <c r="C826" s="1">
        <v>0</v>
      </c>
    </row>
    <row r="827" spans="2:3" hidden="1">
      <c r="B827" s="1" t="s">
        <v>100</v>
      </c>
      <c r="C827" s="1">
        <v>0.53</v>
      </c>
    </row>
    <row r="828" spans="2:3" hidden="1">
      <c r="B828" s="1" t="s">
        <v>101</v>
      </c>
      <c r="C828" s="1">
        <v>0</v>
      </c>
    </row>
    <row r="829" spans="2:3" hidden="1">
      <c r="B829" s="1" t="s">
        <v>102</v>
      </c>
      <c r="C829" s="1">
        <v>0.49</v>
      </c>
    </row>
    <row r="830" spans="2:3" hidden="1">
      <c r="B830" s="1" t="s">
        <v>103</v>
      </c>
      <c r="C830" s="1">
        <v>0.4</v>
      </c>
    </row>
    <row r="831" spans="2:3" hidden="1">
      <c r="B831" s="1" t="s">
        <v>104</v>
      </c>
      <c r="C831" s="1">
        <v>15</v>
      </c>
    </row>
    <row r="832" spans="2:3" hidden="1">
      <c r="B832" s="1" t="s">
        <v>105</v>
      </c>
      <c r="C832" s="1">
        <v>0.55000000000000004</v>
      </c>
    </row>
    <row r="833" spans="2:3" hidden="1">
      <c r="B833" s="1" t="s">
        <v>106</v>
      </c>
      <c r="C833" s="1">
        <v>0</v>
      </c>
    </row>
    <row r="834" spans="2:3" hidden="1">
      <c r="B834" s="1" t="s">
        <v>107</v>
      </c>
      <c r="C834" s="1">
        <v>0</v>
      </c>
    </row>
    <row r="835" spans="2:3" hidden="1">
      <c r="B835" s="1" t="s">
        <v>108</v>
      </c>
      <c r="C835" s="1">
        <v>0</v>
      </c>
    </row>
    <row r="836" spans="2:3" hidden="1">
      <c r="B836" s="1" t="s">
        <v>109</v>
      </c>
      <c r="C836" s="1">
        <v>0</v>
      </c>
    </row>
    <row r="837" spans="2:3" hidden="1">
      <c r="B837" s="1" t="s">
        <v>110</v>
      </c>
      <c r="C837" s="1">
        <v>1</v>
      </c>
    </row>
    <row r="838" spans="2:3" hidden="1">
      <c r="B838" s="1" t="s">
        <v>111</v>
      </c>
      <c r="C838" s="1">
        <v>0</v>
      </c>
    </row>
    <row r="839" spans="2:3" hidden="1">
      <c r="B839" s="1" t="s">
        <v>112</v>
      </c>
      <c r="C839" s="1">
        <v>0</v>
      </c>
    </row>
    <row r="840" spans="2:3" hidden="1">
      <c r="B840" s="1" t="s">
        <v>113</v>
      </c>
      <c r="C840" s="1">
        <v>0</v>
      </c>
    </row>
    <row r="841" spans="2:3" hidden="1">
      <c r="B841" s="1" t="s">
        <v>114</v>
      </c>
      <c r="C841" s="1">
        <v>0</v>
      </c>
    </row>
    <row r="842" spans="2:3" hidden="1">
      <c r="B842" s="1" t="s">
        <v>115</v>
      </c>
      <c r="C842" s="1">
        <v>0</v>
      </c>
    </row>
    <row r="843" spans="2:3" hidden="1">
      <c r="B843" s="1" t="s">
        <v>116</v>
      </c>
      <c r="C843" s="1">
        <v>0</v>
      </c>
    </row>
    <row r="844" spans="2:3" hidden="1">
      <c r="B844" s="1" t="s">
        <v>117</v>
      </c>
      <c r="C844" s="1">
        <v>0</v>
      </c>
    </row>
    <row r="845" spans="2:3" hidden="1">
      <c r="B845" s="1" t="s">
        <v>118</v>
      </c>
      <c r="C845" s="1">
        <v>19.38</v>
      </c>
    </row>
    <row r="846" spans="2:3" hidden="1">
      <c r="B846" s="1" t="s">
        <v>119</v>
      </c>
      <c r="C846" s="1">
        <v>0</v>
      </c>
    </row>
    <row r="847" spans="2:3" hidden="1">
      <c r="B847" s="1" t="s">
        <v>120</v>
      </c>
      <c r="C847" s="1">
        <v>0</v>
      </c>
    </row>
    <row r="848" spans="2:3" hidden="1">
      <c r="B848" s="1" t="s">
        <v>121</v>
      </c>
      <c r="C848" s="1">
        <v>0</v>
      </c>
    </row>
    <row r="849" spans="2:3" hidden="1">
      <c r="B849" s="1" t="s">
        <v>122</v>
      </c>
      <c r="C849" s="1">
        <v>0</v>
      </c>
    </row>
    <row r="850" spans="2:3" hidden="1">
      <c r="B850" s="1" t="s">
        <v>123</v>
      </c>
      <c r="C850" s="1">
        <v>0</v>
      </c>
    </row>
    <row r="851" spans="2:3" hidden="1">
      <c r="B851" s="1" t="s">
        <v>124</v>
      </c>
      <c r="C851" s="1">
        <v>0</v>
      </c>
    </row>
    <row r="852" spans="2:3" hidden="1">
      <c r="B852" s="1" t="s">
        <v>125</v>
      </c>
      <c r="C852" s="1">
        <v>0</v>
      </c>
    </row>
    <row r="853" spans="2:3" hidden="1">
      <c r="B853" s="1" t="s">
        <v>126</v>
      </c>
      <c r="C853" s="1">
        <v>0</v>
      </c>
    </row>
    <row r="854" spans="2:3" hidden="1">
      <c r="B854" s="1" t="s">
        <v>127</v>
      </c>
      <c r="C854" s="1">
        <v>0</v>
      </c>
    </row>
    <row r="855" spans="2:3" hidden="1">
      <c r="B855" s="1" t="s">
        <v>128</v>
      </c>
      <c r="C855" s="1">
        <v>0</v>
      </c>
    </row>
    <row r="856" spans="2:3" hidden="1">
      <c r="B856" s="1" t="s">
        <v>129</v>
      </c>
      <c r="C856" s="1">
        <v>0</v>
      </c>
    </row>
    <row r="857" spans="2:3" hidden="1">
      <c r="B857" s="1" t="s">
        <v>130</v>
      </c>
      <c r="C857" s="1">
        <v>0</v>
      </c>
    </row>
    <row r="858" spans="2:3" hidden="1">
      <c r="B858" s="1" t="s">
        <v>131</v>
      </c>
      <c r="C858" s="1">
        <v>0</v>
      </c>
    </row>
    <row r="859" spans="2:3" hidden="1">
      <c r="B859" s="1" t="s">
        <v>132</v>
      </c>
      <c r="C859" s="1">
        <v>0</v>
      </c>
    </row>
    <row r="860" spans="2:3" hidden="1">
      <c r="B860" s="1" t="s">
        <v>133</v>
      </c>
      <c r="C860" s="1">
        <v>0.5</v>
      </c>
    </row>
    <row r="861" spans="2:3" hidden="1">
      <c r="B861" s="1" t="s">
        <v>134</v>
      </c>
      <c r="C861" s="1">
        <v>13.5</v>
      </c>
    </row>
    <row r="862" spans="2:3" hidden="1">
      <c r="B862" s="1" t="s">
        <v>135</v>
      </c>
      <c r="C862" s="1">
        <v>18</v>
      </c>
    </row>
    <row r="863" spans="2:3" hidden="1">
      <c r="B863" s="1" t="s">
        <v>136</v>
      </c>
      <c r="C863" s="1">
        <v>0</v>
      </c>
    </row>
    <row r="864" spans="2:3" hidden="1">
      <c r="B864" s="1" t="s">
        <v>137</v>
      </c>
      <c r="C864" s="1">
        <v>0</v>
      </c>
    </row>
    <row r="865" spans="2:3" hidden="1">
      <c r="B865" s="1" t="s">
        <v>138</v>
      </c>
      <c r="C865" s="1">
        <v>0</v>
      </c>
    </row>
    <row r="866" spans="2:3" hidden="1">
      <c r="B866" s="1" t="s">
        <v>139</v>
      </c>
      <c r="C866" s="1">
        <v>3500</v>
      </c>
    </row>
    <row r="867" spans="2:3" hidden="1">
      <c r="B867" s="1" t="s">
        <v>140</v>
      </c>
      <c r="C867" s="1">
        <v>4</v>
      </c>
    </row>
    <row r="868" spans="2:3" hidden="1">
      <c r="B868" s="1" t="s">
        <v>141</v>
      </c>
      <c r="C868" s="1">
        <v>0</v>
      </c>
    </row>
    <row r="869" spans="2:3" hidden="1">
      <c r="B869" s="1" t="s">
        <v>142</v>
      </c>
      <c r="C869" s="1">
        <v>0</v>
      </c>
    </row>
    <row r="870" spans="2:3" hidden="1">
      <c r="B870" s="1" t="s">
        <v>143</v>
      </c>
      <c r="C870" s="1">
        <v>0</v>
      </c>
    </row>
    <row r="871" spans="2:3" hidden="1">
      <c r="B871" s="1" t="s">
        <v>144</v>
      </c>
      <c r="C871" s="1">
        <v>6</v>
      </c>
    </row>
    <row r="872" spans="2:3" hidden="1">
      <c r="B872" s="1" t="s">
        <v>145</v>
      </c>
      <c r="C872" s="1">
        <v>3.65</v>
      </c>
    </row>
    <row r="873" spans="2:3" hidden="1">
      <c r="B873" s="1" t="s">
        <v>146</v>
      </c>
      <c r="C873" s="1">
        <v>3.38</v>
      </c>
    </row>
    <row r="874" spans="2:3" hidden="1">
      <c r="B874" s="1" t="s">
        <v>147</v>
      </c>
      <c r="C874" s="1">
        <v>1</v>
      </c>
    </row>
    <row r="875" spans="2:3" hidden="1">
      <c r="B875" s="1" t="s">
        <v>148</v>
      </c>
      <c r="C875" s="1">
        <v>0</v>
      </c>
    </row>
    <row r="876" spans="2:3" hidden="1">
      <c r="B876" s="1" t="s">
        <v>149</v>
      </c>
      <c r="C876" s="1">
        <v>13</v>
      </c>
    </row>
    <row r="877" spans="2:3" hidden="1">
      <c r="B877" s="1" t="s">
        <v>150</v>
      </c>
      <c r="C877" s="1">
        <v>0</v>
      </c>
    </row>
    <row r="878" spans="2:3" hidden="1">
      <c r="B878" s="1" t="s">
        <v>151</v>
      </c>
      <c r="C878" s="1">
        <v>0</v>
      </c>
    </row>
    <row r="879" spans="2:3" hidden="1">
      <c r="B879" s="1" t="s">
        <v>152</v>
      </c>
      <c r="C879" s="1">
        <v>0</v>
      </c>
    </row>
    <row r="880" spans="2:3" hidden="1">
      <c r="B880" s="1" t="s">
        <v>153</v>
      </c>
      <c r="C880" s="1">
        <v>0</v>
      </c>
    </row>
    <row r="881" spans="2:3" hidden="1">
      <c r="B881" s="1" t="s">
        <v>154</v>
      </c>
      <c r="C881" s="1">
        <v>0</v>
      </c>
    </row>
    <row r="882" spans="2:3" hidden="1">
      <c r="B882" s="1" t="s">
        <v>155</v>
      </c>
      <c r="C882" s="1">
        <v>0</v>
      </c>
    </row>
    <row r="883" spans="2:3" hidden="1">
      <c r="B883" s="1" t="s">
        <v>156</v>
      </c>
      <c r="C883" s="1">
        <v>5</v>
      </c>
    </row>
    <row r="884" spans="2:3" hidden="1">
      <c r="B884" s="1" t="s">
        <v>157</v>
      </c>
      <c r="C884" s="1">
        <v>0</v>
      </c>
    </row>
    <row r="885" spans="2:3" hidden="1">
      <c r="B885" s="1" t="s">
        <v>158</v>
      </c>
      <c r="C885" s="1">
        <v>0</v>
      </c>
    </row>
    <row r="886" spans="2:3" hidden="1">
      <c r="B886" s="1" t="s">
        <v>159</v>
      </c>
      <c r="C886" s="1">
        <v>0</v>
      </c>
    </row>
    <row r="887" spans="2:3" hidden="1">
      <c r="B887" s="1" t="s">
        <v>160</v>
      </c>
      <c r="C887" s="1">
        <v>6800</v>
      </c>
    </row>
    <row r="888" spans="2:3" hidden="1">
      <c r="B888" s="1" t="s">
        <v>161</v>
      </c>
      <c r="C888" s="1">
        <v>0</v>
      </c>
    </row>
    <row r="889" spans="2:3" hidden="1">
      <c r="B889" s="1" t="s">
        <v>162</v>
      </c>
      <c r="C889" s="1">
        <v>0</v>
      </c>
    </row>
    <row r="890" spans="2:3" hidden="1">
      <c r="B890" s="1" t="s">
        <v>163</v>
      </c>
      <c r="C890" s="1">
        <v>8500</v>
      </c>
    </row>
    <row r="891" spans="2:3" hidden="1">
      <c r="B891" s="1" t="s">
        <v>164</v>
      </c>
      <c r="C891" s="1">
        <v>5</v>
      </c>
    </row>
    <row r="892" spans="2:3" hidden="1">
      <c r="B892" s="1" t="s">
        <v>165</v>
      </c>
      <c r="C892" s="1">
        <v>15000</v>
      </c>
    </row>
    <row r="893" spans="2:3" hidden="1">
      <c r="B893" s="1" t="s">
        <v>166</v>
      </c>
      <c r="C893" s="1">
        <v>5</v>
      </c>
    </row>
    <row r="894" spans="2:3" hidden="1">
      <c r="B894" s="1" t="s">
        <v>167</v>
      </c>
      <c r="C894" s="1">
        <v>0</v>
      </c>
    </row>
    <row r="895" spans="2:3" hidden="1">
      <c r="B895" s="1" t="s">
        <v>168</v>
      </c>
      <c r="C895" s="1">
        <v>0</v>
      </c>
    </row>
    <row r="896" spans="2:3" hidden="1">
      <c r="B896" s="1" t="s">
        <v>169</v>
      </c>
      <c r="C896" s="1">
        <v>0</v>
      </c>
    </row>
    <row r="897" spans="2:3" hidden="1">
      <c r="B897" s="1" t="s">
        <v>170</v>
      </c>
      <c r="C897" s="1">
        <v>0</v>
      </c>
    </row>
    <row r="898" spans="2:3" hidden="1">
      <c r="B898" s="1" t="s">
        <v>171</v>
      </c>
      <c r="C898" s="1">
        <v>0</v>
      </c>
    </row>
    <row r="899" spans="2:3" hidden="1">
      <c r="B899" s="1" t="s">
        <v>172</v>
      </c>
      <c r="C899" s="1">
        <v>0</v>
      </c>
    </row>
    <row r="900" spans="2:3" hidden="1">
      <c r="B900" s="1" t="s">
        <v>173</v>
      </c>
      <c r="C900" s="1">
        <v>0</v>
      </c>
    </row>
    <row r="901" spans="2:3" hidden="1">
      <c r="B901" s="1" t="s">
        <v>174</v>
      </c>
      <c r="C901" s="1">
        <v>0</v>
      </c>
    </row>
    <row r="902" spans="2:3" hidden="1">
      <c r="B902" s="1" t="s">
        <v>175</v>
      </c>
      <c r="C902" s="1">
        <v>0</v>
      </c>
    </row>
    <row r="903" spans="2:3" hidden="1">
      <c r="B903" s="1" t="s">
        <v>176</v>
      </c>
      <c r="C903" s="1">
        <v>0</v>
      </c>
    </row>
    <row r="904" spans="2:3" hidden="1">
      <c r="B904" s="1" t="s">
        <v>177</v>
      </c>
      <c r="C904" s="1">
        <v>0</v>
      </c>
    </row>
    <row r="905" spans="2:3" hidden="1">
      <c r="B905" s="1" t="s">
        <v>178</v>
      </c>
      <c r="C905" s="1">
        <v>6</v>
      </c>
    </row>
    <row r="906" spans="2:3" hidden="1">
      <c r="B906" s="1" t="s">
        <v>179</v>
      </c>
      <c r="C906" s="1">
        <v>0</v>
      </c>
    </row>
    <row r="907" spans="2:3" hidden="1">
      <c r="B907" s="1" t="s">
        <v>180</v>
      </c>
      <c r="C907" s="1">
        <v>0</v>
      </c>
    </row>
    <row r="908" spans="2:3" hidden="1">
      <c r="B908" s="1" t="s">
        <v>181</v>
      </c>
      <c r="C908" s="1">
        <v>0</v>
      </c>
    </row>
    <row r="909" spans="2:3" hidden="1">
      <c r="B909" s="1" t="s">
        <v>182</v>
      </c>
      <c r="C909" s="1">
        <v>0</v>
      </c>
    </row>
    <row r="910" spans="2:3" hidden="1">
      <c r="B910" s="1" t="s">
        <v>183</v>
      </c>
      <c r="C910" s="1">
        <v>0</v>
      </c>
    </row>
    <row r="911" spans="2:3" hidden="1">
      <c r="B911" s="1" t="s">
        <v>184</v>
      </c>
      <c r="C911" s="1">
        <v>0</v>
      </c>
    </row>
    <row r="912" spans="2:3" hidden="1">
      <c r="B912" s="1" t="s">
        <v>185</v>
      </c>
      <c r="C912" s="1">
        <v>0</v>
      </c>
    </row>
    <row r="913" spans="2:3" hidden="1">
      <c r="B913" s="1" t="s">
        <v>186</v>
      </c>
      <c r="C913" s="1">
        <v>0</v>
      </c>
    </row>
    <row r="914" spans="2:3" hidden="1">
      <c r="B914" s="1" t="s">
        <v>187</v>
      </c>
      <c r="C914" s="1">
        <v>0</v>
      </c>
    </row>
    <row r="915" spans="2:3" hidden="1">
      <c r="B915" s="1" t="s">
        <v>188</v>
      </c>
      <c r="C915" s="1">
        <v>0</v>
      </c>
    </row>
    <row r="916" spans="2:3" hidden="1">
      <c r="B916" s="1" t="s">
        <v>189</v>
      </c>
      <c r="C916" s="1">
        <v>0</v>
      </c>
    </row>
    <row r="917" spans="2:3" hidden="1">
      <c r="B917" s="1" t="s">
        <v>190</v>
      </c>
      <c r="C917" s="1">
        <v>0</v>
      </c>
    </row>
    <row r="918" spans="2:3" hidden="1">
      <c r="B918" s="1" t="s">
        <v>191</v>
      </c>
      <c r="C918" s="1">
        <v>2</v>
      </c>
    </row>
    <row r="919" spans="2:3" hidden="1">
      <c r="B919" s="1" t="s">
        <v>192</v>
      </c>
      <c r="C919" s="1">
        <v>0</v>
      </c>
    </row>
    <row r="920" spans="2:3" hidden="1">
      <c r="B920" s="1" t="s">
        <v>193</v>
      </c>
      <c r="C920" s="1">
        <v>0</v>
      </c>
    </row>
    <row r="921" spans="2:3" hidden="1">
      <c r="B921" s="1" t="s">
        <v>194</v>
      </c>
      <c r="C921" s="1">
        <v>0</v>
      </c>
    </row>
    <row r="922" spans="2:3" hidden="1">
      <c r="B922" s="1" t="s">
        <v>195</v>
      </c>
      <c r="C922" s="1">
        <v>0</v>
      </c>
    </row>
    <row r="923" spans="2:3" hidden="1">
      <c r="B923" s="1" t="s">
        <v>196</v>
      </c>
      <c r="C923" s="1">
        <v>0</v>
      </c>
    </row>
    <row r="924" spans="2:3" hidden="1">
      <c r="B924" s="1" t="s">
        <v>197</v>
      </c>
      <c r="C924" s="1">
        <v>0</v>
      </c>
    </row>
    <row r="925" spans="2:3" hidden="1">
      <c r="B925" s="1" t="s">
        <v>198</v>
      </c>
      <c r="C925" s="1">
        <v>0</v>
      </c>
    </row>
    <row r="926" spans="2:3" hidden="1">
      <c r="B926" s="1" t="s">
        <v>199</v>
      </c>
      <c r="C926" s="1" t="s">
        <v>200</v>
      </c>
    </row>
    <row r="927" spans="2:3" hidden="1">
      <c r="B927" s="1" t="s">
        <v>201</v>
      </c>
      <c r="C927" s="1" t="s">
        <v>202</v>
      </c>
    </row>
    <row r="928" spans="2:3" hidden="1">
      <c r="B928" s="1" t="s">
        <v>203</v>
      </c>
      <c r="C928" s="1" t="s">
        <v>204</v>
      </c>
    </row>
    <row r="929" spans="2:3" hidden="1">
      <c r="B929" s="1" t="s">
        <v>205</v>
      </c>
      <c r="C929" s="1" t="s">
        <v>206</v>
      </c>
    </row>
    <row r="930" spans="2:3" hidden="1">
      <c r="B930" s="1" t="s">
        <v>207</v>
      </c>
      <c r="C930" s="1" t="s">
        <v>208</v>
      </c>
    </row>
    <row r="931" spans="2:3" hidden="1">
      <c r="B931" s="1" t="s">
        <v>209</v>
      </c>
      <c r="C931" s="1" t="s">
        <v>210</v>
      </c>
    </row>
    <row r="932" spans="2:3" hidden="1">
      <c r="B932" s="1" t="s">
        <v>211</v>
      </c>
      <c r="C932" s="1" t="s">
        <v>212</v>
      </c>
    </row>
    <row r="933" spans="2:3" hidden="1">
      <c r="B933" s="1" t="s">
        <v>213</v>
      </c>
      <c r="C933" s="1" t="s">
        <v>214</v>
      </c>
    </row>
    <row r="934" spans="2:3" hidden="1">
      <c r="B934" s="1" t="s">
        <v>215</v>
      </c>
      <c r="C934" s="1" t="s">
        <v>216</v>
      </c>
    </row>
    <row r="935" spans="2:3" hidden="1">
      <c r="B935" s="1" t="s">
        <v>217</v>
      </c>
      <c r="C935" s="1" t="s">
        <v>218</v>
      </c>
    </row>
    <row r="936" spans="2:3" hidden="1">
      <c r="B936" s="1" t="s">
        <v>219</v>
      </c>
      <c r="C936" s="1" t="s">
        <v>220</v>
      </c>
    </row>
    <row r="937" spans="2:3" hidden="1">
      <c r="B937" s="1" t="s">
        <v>221</v>
      </c>
      <c r="C937" s="1" t="s">
        <v>222</v>
      </c>
    </row>
    <row r="938" spans="2:3" hidden="1">
      <c r="B938" s="1" t="s">
        <v>223</v>
      </c>
      <c r="C938" s="1" t="s">
        <v>220</v>
      </c>
    </row>
    <row r="939" spans="2:3" hidden="1">
      <c r="B939" s="1" t="s">
        <v>224</v>
      </c>
      <c r="C939" s="1" t="s">
        <v>212</v>
      </c>
    </row>
    <row r="940" spans="2:3" hidden="1">
      <c r="B940" s="1" t="s">
        <v>225</v>
      </c>
      <c r="C940" s="1" t="s">
        <v>226</v>
      </c>
    </row>
    <row r="941" spans="2:3" hidden="1">
      <c r="B941" s="1" t="s">
        <v>227</v>
      </c>
      <c r="C941" s="1" t="s">
        <v>220</v>
      </c>
    </row>
    <row r="942" spans="2:3" hidden="1">
      <c r="B942" s="1" t="s">
        <v>228</v>
      </c>
      <c r="C942" s="1" t="s">
        <v>220</v>
      </c>
    </row>
    <row r="943" spans="2:3" hidden="1">
      <c r="B943" s="1" t="s">
        <v>229</v>
      </c>
      <c r="C943" s="1" t="s">
        <v>208</v>
      </c>
    </row>
    <row r="944" spans="2:3" hidden="1">
      <c r="B944" s="1" t="s">
        <v>230</v>
      </c>
      <c r="C944" s="1" t="s">
        <v>231</v>
      </c>
    </row>
    <row r="945" spans="2:3" hidden="1">
      <c r="B945" s="1" t="s">
        <v>232</v>
      </c>
      <c r="C945" s="1" t="s">
        <v>204</v>
      </c>
    </row>
    <row r="946" spans="2:3" hidden="1">
      <c r="B946" s="1" t="s">
        <v>233</v>
      </c>
      <c r="C946" s="1" t="s">
        <v>231</v>
      </c>
    </row>
    <row r="947" spans="2:3" hidden="1">
      <c r="B947" s="1" t="s">
        <v>234</v>
      </c>
      <c r="C947" s="1" t="s">
        <v>235</v>
      </c>
    </row>
    <row r="948" spans="2:3" hidden="1">
      <c r="B948" s="1" t="s">
        <v>236</v>
      </c>
      <c r="C948" s="1" t="s">
        <v>237</v>
      </c>
    </row>
    <row r="949" spans="2:3" hidden="1">
      <c r="B949" s="1" t="s">
        <v>238</v>
      </c>
      <c r="C949" s="1" t="s">
        <v>239</v>
      </c>
    </row>
    <row r="950" spans="2:3" hidden="1">
      <c r="B950" s="1" t="s">
        <v>240</v>
      </c>
      <c r="C950" s="1" t="s">
        <v>208</v>
      </c>
    </row>
    <row r="951" spans="2:3" hidden="1">
      <c r="B951" s="1" t="s">
        <v>241</v>
      </c>
      <c r="C951" s="1" t="s">
        <v>208</v>
      </c>
    </row>
    <row r="952" spans="2:3" hidden="1">
      <c r="B952" s="1" t="s">
        <v>242</v>
      </c>
      <c r="C952" s="1" t="s">
        <v>243</v>
      </c>
    </row>
    <row r="953" spans="2:3" hidden="1">
      <c r="B953" s="1" t="s">
        <v>244</v>
      </c>
      <c r="C953" s="1" t="s">
        <v>245</v>
      </c>
    </row>
    <row r="954" spans="2:3" hidden="1">
      <c r="B954" s="1" t="s">
        <v>246</v>
      </c>
      <c r="C954" s="1">
        <v>0</v>
      </c>
    </row>
    <row r="955" spans="2:3" hidden="1">
      <c r="B955" s="1" t="s">
        <v>247</v>
      </c>
      <c r="C955" s="1">
        <v>0</v>
      </c>
    </row>
    <row r="956" spans="2:3" hidden="1">
      <c r="B956" s="1" t="s">
        <v>248</v>
      </c>
      <c r="C956" s="1">
        <v>0</v>
      </c>
    </row>
    <row r="957" spans="2:3" hidden="1">
      <c r="B957" s="1" t="s">
        <v>249</v>
      </c>
      <c r="C957" s="1">
        <v>0</v>
      </c>
    </row>
    <row r="958" spans="2:3" hidden="1">
      <c r="B958" s="1" t="s">
        <v>250</v>
      </c>
      <c r="C958" s="1">
        <v>0</v>
      </c>
    </row>
    <row r="959" spans="2:3" hidden="1">
      <c r="B959" s="1" t="s">
        <v>251</v>
      </c>
      <c r="C959" s="1">
        <v>0</v>
      </c>
    </row>
    <row r="960" spans="2:3" hidden="1">
      <c r="B960" s="1" t="s">
        <v>252</v>
      </c>
      <c r="C960" s="1">
        <v>0</v>
      </c>
    </row>
    <row r="961" spans="2:3" hidden="1">
      <c r="B961" s="1" t="s">
        <v>253</v>
      </c>
      <c r="C961" s="1">
        <v>0</v>
      </c>
    </row>
    <row r="962" spans="2:3" hidden="1">
      <c r="B962" s="1" t="s">
        <v>254</v>
      </c>
      <c r="C962" s="1">
        <v>0</v>
      </c>
    </row>
    <row r="963" spans="2:3" hidden="1">
      <c r="B963" s="1" t="s">
        <v>255</v>
      </c>
      <c r="C963" s="1">
        <v>0</v>
      </c>
    </row>
    <row r="964" spans="2:3" hidden="1">
      <c r="B964" s="1" t="s">
        <v>256</v>
      </c>
      <c r="C964" s="1">
        <v>0</v>
      </c>
    </row>
    <row r="965" spans="2:3" hidden="1">
      <c r="B965" s="1" t="s">
        <v>257</v>
      </c>
      <c r="C965" s="1">
        <v>0</v>
      </c>
    </row>
    <row r="966" spans="2:3" hidden="1">
      <c r="B966" s="1" t="s">
        <v>258</v>
      </c>
      <c r="C966" s="1">
        <v>0</v>
      </c>
    </row>
    <row r="967" spans="2:3" hidden="1">
      <c r="B967" s="1" t="s">
        <v>259</v>
      </c>
      <c r="C967" s="1">
        <v>0</v>
      </c>
    </row>
    <row r="968" spans="2:3" hidden="1">
      <c r="B968" s="1" t="s">
        <v>260</v>
      </c>
      <c r="C968" s="1" t="s">
        <v>261</v>
      </c>
    </row>
    <row r="969" spans="2:3" hidden="1">
      <c r="B969" s="1" t="s">
        <v>262</v>
      </c>
      <c r="C969" s="1">
        <v>0</v>
      </c>
    </row>
    <row r="970" spans="2:3" hidden="1">
      <c r="B970" s="1" t="s">
        <v>263</v>
      </c>
      <c r="C970" s="1">
        <v>0</v>
      </c>
    </row>
    <row r="971" spans="2:3" hidden="1">
      <c r="B971" s="1" t="s">
        <v>264</v>
      </c>
      <c r="C971" s="1">
        <v>0</v>
      </c>
    </row>
    <row r="972" spans="2:3" hidden="1">
      <c r="B972" s="1" t="s">
        <v>265</v>
      </c>
      <c r="C972" s="1">
        <v>0</v>
      </c>
    </row>
    <row r="973" spans="2:3" hidden="1">
      <c r="B973" s="1" t="s">
        <v>266</v>
      </c>
      <c r="C973" s="1" t="s">
        <v>267</v>
      </c>
    </row>
    <row r="974" spans="2:3" hidden="1">
      <c r="B974" s="1" t="s">
        <v>268</v>
      </c>
      <c r="C974" s="1">
        <v>0</v>
      </c>
    </row>
    <row r="975" spans="2:3" hidden="1">
      <c r="B975" s="1" t="s">
        <v>269</v>
      </c>
      <c r="C975" s="1">
        <v>0</v>
      </c>
    </row>
    <row r="976" spans="2:3" hidden="1">
      <c r="B976" s="1" t="s">
        <v>270</v>
      </c>
      <c r="C976" s="1">
        <v>0</v>
      </c>
    </row>
    <row r="977" spans="2:3" hidden="1">
      <c r="B977" s="1" t="s">
        <v>271</v>
      </c>
      <c r="C977" s="1">
        <v>0</v>
      </c>
    </row>
    <row r="978" spans="2:3" hidden="1">
      <c r="B978" s="1" t="s">
        <v>272</v>
      </c>
      <c r="C978" s="1">
        <v>0</v>
      </c>
    </row>
    <row r="979" spans="2:3" hidden="1">
      <c r="B979" s="1" t="s">
        <v>273</v>
      </c>
      <c r="C979" s="1">
        <v>0</v>
      </c>
    </row>
    <row r="980" spans="2:3" hidden="1">
      <c r="B980" s="1" t="s">
        <v>274</v>
      </c>
      <c r="C980" s="1">
        <v>0</v>
      </c>
    </row>
    <row r="981" spans="2:3" hidden="1">
      <c r="B981" s="1" t="s">
        <v>275</v>
      </c>
      <c r="C981" s="1">
        <v>0</v>
      </c>
    </row>
    <row r="982" spans="2:3" hidden="1">
      <c r="B982" s="1" t="s">
        <v>276</v>
      </c>
      <c r="C982" s="1">
        <v>0</v>
      </c>
    </row>
    <row r="983" spans="2:3" hidden="1">
      <c r="B983" s="1" t="s">
        <v>277</v>
      </c>
      <c r="C983" s="1">
        <v>0</v>
      </c>
    </row>
    <row r="984" spans="2:3" hidden="1">
      <c r="B984" s="1" t="s">
        <v>278</v>
      </c>
      <c r="C984" s="1">
        <v>0</v>
      </c>
    </row>
    <row r="985" spans="2:3" hidden="1">
      <c r="B985" s="1" t="s">
        <v>279</v>
      </c>
      <c r="C985" s="1">
        <v>0</v>
      </c>
    </row>
    <row r="986" spans="2:3" hidden="1">
      <c r="B986" s="1" t="s">
        <v>280</v>
      </c>
      <c r="C986" s="1">
        <v>0</v>
      </c>
    </row>
    <row r="987" spans="2:3" hidden="1">
      <c r="B987" s="1" t="s">
        <v>281</v>
      </c>
      <c r="C987" s="1">
        <v>0</v>
      </c>
    </row>
    <row r="988" spans="2:3" hidden="1">
      <c r="B988" s="1" t="s">
        <v>282</v>
      </c>
      <c r="C988" s="1">
        <v>0</v>
      </c>
    </row>
    <row r="989" spans="2:3" hidden="1">
      <c r="B989" s="1" t="s">
        <v>283</v>
      </c>
      <c r="C989" s="1">
        <v>0</v>
      </c>
    </row>
    <row r="990" spans="2:3" hidden="1">
      <c r="B990" s="1" t="s">
        <v>284</v>
      </c>
      <c r="C990" s="1" t="s">
        <v>261</v>
      </c>
    </row>
    <row r="991" spans="2:3" hidden="1">
      <c r="B991" s="1" t="s">
        <v>285</v>
      </c>
      <c r="C991" s="1" t="s">
        <v>267</v>
      </c>
    </row>
    <row r="992" spans="2:3" hidden="1">
      <c r="B992" s="1" t="s">
        <v>286</v>
      </c>
      <c r="C992" s="1">
        <v>0</v>
      </c>
    </row>
    <row r="993" spans="2:3" hidden="1">
      <c r="B993" s="1" t="s">
        <v>287</v>
      </c>
      <c r="C993" s="1">
        <v>0</v>
      </c>
    </row>
    <row r="994" spans="2:3" hidden="1">
      <c r="B994" s="1" t="s">
        <v>288</v>
      </c>
      <c r="C994" s="1">
        <v>0</v>
      </c>
    </row>
    <row r="995" spans="2:3" hidden="1">
      <c r="B995" s="1" t="s">
        <v>289</v>
      </c>
      <c r="C995" s="1">
        <v>0</v>
      </c>
    </row>
    <row r="996" spans="2:3" hidden="1">
      <c r="B996" s="1" t="s">
        <v>290</v>
      </c>
      <c r="C996" s="1">
        <v>0</v>
      </c>
    </row>
    <row r="997" spans="2:3" hidden="1">
      <c r="B997" s="1" t="s">
        <v>291</v>
      </c>
      <c r="C997" s="1">
        <v>0</v>
      </c>
    </row>
    <row r="998" spans="2:3" hidden="1">
      <c r="B998" s="1" t="s">
        <v>292</v>
      </c>
      <c r="C998" s="1">
        <v>0</v>
      </c>
    </row>
    <row r="999" spans="2:3" hidden="1">
      <c r="B999" s="1" t="s">
        <v>293</v>
      </c>
      <c r="C999" s="1">
        <v>0</v>
      </c>
    </row>
    <row r="1000" spans="2:3" hidden="1">
      <c r="B1000" s="1" t="s">
        <v>294</v>
      </c>
      <c r="C1000" s="1">
        <v>0</v>
      </c>
    </row>
    <row r="1001" spans="2:3" hidden="1">
      <c r="B1001" s="1" t="s">
        <v>295</v>
      </c>
      <c r="C1001" s="1">
        <v>0</v>
      </c>
    </row>
    <row r="1002" spans="2:3" hidden="1">
      <c r="B1002" s="1" t="s">
        <v>296</v>
      </c>
      <c r="C1002" s="1">
        <v>0</v>
      </c>
    </row>
    <row r="1003" spans="2:3" hidden="1">
      <c r="B1003" s="1" t="s">
        <v>297</v>
      </c>
      <c r="C1003" s="1">
        <v>0</v>
      </c>
    </row>
    <row r="1004" spans="2:3" hidden="1">
      <c r="B1004" s="1" t="s">
        <v>298</v>
      </c>
      <c r="C1004" s="1">
        <v>0</v>
      </c>
    </row>
    <row r="1005" spans="2:3" hidden="1">
      <c r="B1005" s="1" t="s">
        <v>299</v>
      </c>
      <c r="C1005" s="1">
        <v>0</v>
      </c>
    </row>
    <row r="1006" spans="2:3" hidden="1">
      <c r="B1006" s="1" t="s">
        <v>300</v>
      </c>
      <c r="C1006" s="1">
        <v>1</v>
      </c>
    </row>
    <row r="1007" spans="2:3" hidden="1">
      <c r="B1007" s="1" t="s">
        <v>301</v>
      </c>
      <c r="C1007" s="1">
        <v>0</v>
      </c>
    </row>
    <row r="1008" spans="2:3" hidden="1">
      <c r="B1008" s="1" t="s">
        <v>302</v>
      </c>
      <c r="C1008" s="1">
        <v>0</v>
      </c>
    </row>
    <row r="1009" spans="2:3" hidden="1">
      <c r="B1009" s="1" t="s">
        <v>303</v>
      </c>
      <c r="C1009" s="1">
        <v>0</v>
      </c>
    </row>
    <row r="1010" spans="2:3" hidden="1">
      <c r="B1010" s="1" t="s">
        <v>304</v>
      </c>
      <c r="C1010" s="1">
        <v>0</v>
      </c>
    </row>
    <row r="1011" spans="2:3" hidden="1">
      <c r="B1011" s="1" t="s">
        <v>305</v>
      </c>
      <c r="C1011" s="1">
        <v>1</v>
      </c>
    </row>
    <row r="1012" spans="2:3" hidden="1">
      <c r="B1012" s="1" t="s">
        <v>306</v>
      </c>
      <c r="C1012" s="1">
        <v>0</v>
      </c>
    </row>
    <row r="1013" spans="2:3" hidden="1">
      <c r="B1013" s="1" t="s">
        <v>307</v>
      </c>
      <c r="C1013" s="1">
        <v>0</v>
      </c>
    </row>
    <row r="1014" spans="2:3" hidden="1">
      <c r="B1014" s="1" t="s">
        <v>308</v>
      </c>
      <c r="C1014" s="1">
        <v>0</v>
      </c>
    </row>
    <row r="1015" spans="2:3" hidden="1">
      <c r="B1015" s="1" t="s">
        <v>309</v>
      </c>
      <c r="C1015" s="1">
        <v>0</v>
      </c>
    </row>
    <row r="1016" spans="2:3" hidden="1">
      <c r="B1016" s="1" t="s">
        <v>310</v>
      </c>
      <c r="C1016" s="1">
        <v>0</v>
      </c>
    </row>
    <row r="1017" spans="2:3" hidden="1">
      <c r="B1017" s="1" t="s">
        <v>311</v>
      </c>
      <c r="C1017" s="1">
        <v>0</v>
      </c>
    </row>
    <row r="1018" spans="2:3" hidden="1">
      <c r="B1018" s="1" t="s">
        <v>312</v>
      </c>
      <c r="C1018" s="1">
        <v>0</v>
      </c>
    </row>
    <row r="1019" spans="2:3" hidden="1">
      <c r="B1019" s="1" t="s">
        <v>313</v>
      </c>
      <c r="C1019" s="1">
        <v>0</v>
      </c>
    </row>
    <row r="1020" spans="2:3" hidden="1">
      <c r="B1020" s="1" t="s">
        <v>314</v>
      </c>
      <c r="C1020" s="1">
        <v>0</v>
      </c>
    </row>
    <row r="1021" spans="2:3" hidden="1">
      <c r="B1021" s="1" t="s">
        <v>315</v>
      </c>
      <c r="C1021" s="1">
        <v>0</v>
      </c>
    </row>
    <row r="1022" spans="2:3" hidden="1">
      <c r="B1022" s="1" t="s">
        <v>316</v>
      </c>
      <c r="C1022" s="1">
        <v>0</v>
      </c>
    </row>
    <row r="1023" spans="2:3" hidden="1">
      <c r="B1023" s="1" t="s">
        <v>317</v>
      </c>
      <c r="C1023" s="1">
        <v>0</v>
      </c>
    </row>
    <row r="1024" spans="2:3" hidden="1">
      <c r="B1024" s="1" t="s">
        <v>318</v>
      </c>
      <c r="C1024" s="1">
        <v>0</v>
      </c>
    </row>
    <row r="1025" spans="2:3" hidden="1">
      <c r="B1025" s="1" t="s">
        <v>319</v>
      </c>
      <c r="C1025" s="1">
        <v>0</v>
      </c>
    </row>
    <row r="1026" spans="2:3" hidden="1">
      <c r="B1026" s="1" t="s">
        <v>320</v>
      </c>
      <c r="C1026" s="1">
        <v>0</v>
      </c>
    </row>
    <row r="1027" spans="2:3" hidden="1">
      <c r="B1027" s="1" t="s">
        <v>321</v>
      </c>
      <c r="C1027" s="1">
        <v>0</v>
      </c>
    </row>
    <row r="1028" spans="2:3" hidden="1">
      <c r="B1028" s="1" t="s">
        <v>322</v>
      </c>
      <c r="C1028" s="1">
        <v>0</v>
      </c>
    </row>
    <row r="1029" spans="2:3" hidden="1">
      <c r="B1029" s="1" t="s">
        <v>323</v>
      </c>
      <c r="C1029" s="1">
        <v>1</v>
      </c>
    </row>
    <row r="1030" spans="2:3" hidden="1">
      <c r="B1030" s="1" t="s">
        <v>324</v>
      </c>
      <c r="C1030" s="1">
        <v>0</v>
      </c>
    </row>
    <row r="1031" spans="2:3" hidden="1">
      <c r="B1031" s="1" t="s">
        <v>325</v>
      </c>
      <c r="C1031" s="1">
        <v>0</v>
      </c>
    </row>
    <row r="1032" spans="2:3" hidden="1">
      <c r="B1032" s="1" t="s">
        <v>326</v>
      </c>
      <c r="C1032" s="1">
        <v>0</v>
      </c>
    </row>
    <row r="1033" spans="2:3" hidden="1">
      <c r="B1033" s="1" t="s">
        <v>327</v>
      </c>
      <c r="C1033" s="1">
        <v>0</v>
      </c>
    </row>
    <row r="1034" spans="2:3" hidden="1">
      <c r="B1034" s="1" t="s">
        <v>328</v>
      </c>
      <c r="C1034" s="1">
        <v>0</v>
      </c>
    </row>
    <row r="1035" spans="2:3" hidden="1">
      <c r="B1035" s="1" t="s">
        <v>329</v>
      </c>
      <c r="C1035" s="1">
        <v>0</v>
      </c>
    </row>
    <row r="1036" spans="2:3" hidden="1">
      <c r="B1036" s="1" t="s">
        <v>330</v>
      </c>
      <c r="C1036" s="1">
        <v>0</v>
      </c>
    </row>
    <row r="1037" spans="2:3" hidden="1">
      <c r="B1037" s="1" t="s">
        <v>331</v>
      </c>
      <c r="C1037" s="1">
        <v>0</v>
      </c>
    </row>
    <row r="1038" spans="2:3" hidden="1">
      <c r="B1038" s="1" t="s">
        <v>332</v>
      </c>
      <c r="C1038" s="1">
        <v>0</v>
      </c>
    </row>
    <row r="1039" spans="2:3" hidden="1">
      <c r="B1039" s="1" t="s">
        <v>333</v>
      </c>
      <c r="C1039" s="1">
        <v>0</v>
      </c>
    </row>
    <row r="1040" spans="2:3" hidden="1">
      <c r="B1040" s="1" t="s">
        <v>334</v>
      </c>
      <c r="C1040" s="1">
        <v>0</v>
      </c>
    </row>
    <row r="1041" spans="2:3" hidden="1">
      <c r="B1041" s="1" t="s">
        <v>335</v>
      </c>
      <c r="C1041" s="1">
        <v>0</v>
      </c>
    </row>
    <row r="1042" spans="2:3" hidden="1">
      <c r="B1042" s="1" t="s">
        <v>336</v>
      </c>
      <c r="C1042" s="1">
        <v>0</v>
      </c>
    </row>
    <row r="1043" spans="2:3" hidden="1">
      <c r="B1043" s="1" t="s">
        <v>337</v>
      </c>
      <c r="C1043" s="1">
        <v>0</v>
      </c>
    </row>
    <row r="1044" spans="2:3" hidden="1">
      <c r="B1044" s="1" t="s">
        <v>338</v>
      </c>
      <c r="C1044" s="1">
        <v>0</v>
      </c>
    </row>
    <row r="1045" spans="2:3" hidden="1">
      <c r="B1045" s="1" t="s">
        <v>339</v>
      </c>
      <c r="C1045" s="1">
        <v>0</v>
      </c>
    </row>
    <row r="1046" spans="2:3" hidden="1">
      <c r="B1046" s="1" t="s">
        <v>340</v>
      </c>
      <c r="C1046" s="1">
        <v>0</v>
      </c>
    </row>
    <row r="1047" spans="2:3" hidden="1">
      <c r="B1047" s="1" t="s">
        <v>341</v>
      </c>
      <c r="C1047" s="1">
        <v>0</v>
      </c>
    </row>
    <row r="1048" spans="2:3" hidden="1">
      <c r="B1048" s="1" t="s">
        <v>342</v>
      </c>
      <c r="C1048" s="1">
        <v>0</v>
      </c>
    </row>
    <row r="1049" spans="2:3" hidden="1">
      <c r="B1049" s="1" t="s">
        <v>343</v>
      </c>
      <c r="C1049" s="1">
        <v>0</v>
      </c>
    </row>
    <row r="1050" spans="2:3" hidden="1">
      <c r="B1050" s="1" t="s">
        <v>344</v>
      </c>
      <c r="C1050" s="1">
        <v>0</v>
      </c>
    </row>
    <row r="1051" spans="2:3" hidden="1">
      <c r="B1051" s="1" t="s">
        <v>345</v>
      </c>
      <c r="C1051" s="1">
        <v>0</v>
      </c>
    </row>
    <row r="1052" spans="2:3" hidden="1">
      <c r="B1052" s="1" t="s">
        <v>346</v>
      </c>
      <c r="C1052" s="1">
        <v>0</v>
      </c>
    </row>
    <row r="1053" spans="2:3" hidden="1">
      <c r="B1053" s="1" t="s">
        <v>347</v>
      </c>
      <c r="C1053" s="1">
        <v>0</v>
      </c>
    </row>
    <row r="1054" spans="2:3" hidden="1">
      <c r="B1054" s="1" t="s">
        <v>348</v>
      </c>
      <c r="C1054" s="1">
        <v>0</v>
      </c>
    </row>
    <row r="1055" spans="2:3" hidden="1">
      <c r="B1055" s="1" t="s">
        <v>349</v>
      </c>
      <c r="C1055" s="1">
        <v>0</v>
      </c>
    </row>
    <row r="1056" spans="2:3" hidden="1">
      <c r="B1056" s="1" t="s">
        <v>350</v>
      </c>
      <c r="C1056" s="1">
        <v>0</v>
      </c>
    </row>
    <row r="1057" spans="2:3" hidden="1">
      <c r="B1057" s="1" t="s">
        <v>351</v>
      </c>
      <c r="C1057" s="1">
        <v>0</v>
      </c>
    </row>
    <row r="1058" spans="2:3" hidden="1">
      <c r="B1058" s="1" t="s">
        <v>352</v>
      </c>
      <c r="C1058" s="1">
        <v>0</v>
      </c>
    </row>
    <row r="1059" spans="2:3" hidden="1">
      <c r="B1059" s="1" t="s">
        <v>353</v>
      </c>
      <c r="C1059" s="1">
        <v>0</v>
      </c>
    </row>
    <row r="1060" spans="2:3" hidden="1">
      <c r="B1060" s="1" t="s">
        <v>354</v>
      </c>
      <c r="C1060" s="1">
        <v>0</v>
      </c>
    </row>
    <row r="1061" spans="2:3" hidden="1">
      <c r="B1061" s="1" t="s">
        <v>355</v>
      </c>
      <c r="C1061" s="1">
        <v>0</v>
      </c>
    </row>
    <row r="1062" spans="2:3" hidden="1">
      <c r="B1062" s="1" t="s">
        <v>356</v>
      </c>
      <c r="C1062" s="1">
        <v>0</v>
      </c>
    </row>
    <row r="1063" spans="2:3" hidden="1">
      <c r="B1063" s="1" t="s">
        <v>357</v>
      </c>
      <c r="C1063" s="1">
        <v>0</v>
      </c>
    </row>
    <row r="1064" spans="2:3" hidden="1">
      <c r="B1064" s="1" t="s">
        <v>358</v>
      </c>
      <c r="C1064" s="1">
        <v>0</v>
      </c>
    </row>
    <row r="1065" spans="2:3" hidden="1">
      <c r="B1065" s="1" t="s">
        <v>359</v>
      </c>
      <c r="C1065" s="1">
        <v>0</v>
      </c>
    </row>
    <row r="1066" spans="2:3" hidden="1">
      <c r="B1066" s="1" t="s">
        <v>360</v>
      </c>
      <c r="C1066" s="1">
        <v>0</v>
      </c>
    </row>
    <row r="1067" spans="2:3" hidden="1">
      <c r="B1067" s="1" t="s">
        <v>361</v>
      </c>
      <c r="C1067" s="1">
        <v>0</v>
      </c>
    </row>
    <row r="1068" spans="2:3" hidden="1">
      <c r="B1068" s="1" t="s">
        <v>362</v>
      </c>
      <c r="C1068" s="1">
        <v>0</v>
      </c>
    </row>
    <row r="1069" spans="2:3" hidden="1">
      <c r="B1069" s="1" t="s">
        <v>363</v>
      </c>
      <c r="C1069" s="1">
        <v>0</v>
      </c>
    </row>
    <row r="1070" spans="2:3" hidden="1">
      <c r="B1070" s="1" t="s">
        <v>364</v>
      </c>
      <c r="C1070" s="1">
        <v>0</v>
      </c>
    </row>
    <row r="1071" spans="2:3" hidden="1">
      <c r="B1071" s="1" t="s">
        <v>365</v>
      </c>
      <c r="C1071" s="1">
        <v>0</v>
      </c>
    </row>
  </sheetData>
  <sheetProtection sheet="1" objects="1" scenarios="1" selectLockedCells="1"/>
  <protectedRanges>
    <protectedRange sqref="F1 D8:E8 F19:F20 F25" name="Grey edit cells"/>
  </protectedRanges>
  <mergeCells count="4">
    <mergeCell ref="B60:C60"/>
    <mergeCell ref="B3:F3"/>
    <mergeCell ref="B58:C58"/>
    <mergeCell ref="B59:C59"/>
  </mergeCells>
  <conditionalFormatting sqref="B67">
    <cfRule type="expression" dxfId="21" priority="40" stopIfTrue="1">
      <formula>MID(#REF!,1,4)="Rent"</formula>
    </cfRule>
  </conditionalFormatting>
  <conditionalFormatting sqref="B68:B71">
    <cfRule type="expression" dxfId="20" priority="4" stopIfTrue="1">
      <formula>MID($A63,1,4)="Rent"</formula>
    </cfRule>
  </conditionalFormatting>
  <conditionalFormatting sqref="B72">
    <cfRule type="expression" dxfId="19" priority="6" stopIfTrue="1">
      <formula>MID($A68,1,4)="Rent"</formula>
    </cfRule>
  </conditionalFormatting>
  <conditionalFormatting sqref="B73">
    <cfRule type="expression" dxfId="18" priority="1" stopIfTrue="1">
      <formula>MID($A73,1,4)="Rent"</formula>
    </cfRule>
  </conditionalFormatting>
  <conditionalFormatting sqref="C11:D11">
    <cfRule type="expression" dxfId="17" priority="7">
      <formula>$F$1="no"</formula>
    </cfRule>
  </conditionalFormatting>
  <conditionalFormatting sqref="C12:D21 C25:D26">
    <cfRule type="expression" dxfId="16" priority="36">
      <formula>$F$1="yes"</formula>
    </cfRule>
  </conditionalFormatting>
  <conditionalFormatting sqref="C22:D22 D23 C24:D24">
    <cfRule type="expression" dxfId="15" priority="2">
      <formula>$F$1="No"</formula>
    </cfRule>
  </conditionalFormatting>
  <dataValidations count="1">
    <dataValidation type="list" allowBlank="1" showInputMessage="1" showErrorMessage="1" sqref="F1" xr:uid="{22E3080A-D38C-49AF-874E-DF265332A564}">
      <formula1>"Yes,No"</formula1>
    </dataValidation>
  </dataValidations>
  <pageMargins left="0.7" right="0.7" top="0.75" bottom="0.75" header="0.3" footer="0.3"/>
  <pageSetup scale="85" orientation="portrait" r:id="rId1"/>
  <headerFooter>
    <oddFooter>&amp;C&amp;"Verdana,Regular"&amp;8The Crop Budget Generator is a product of the Food and Agricultural Policy Research Institute at the University of Missouri
www.fapri.missouri.edu</oddFooter>
  </headerFooter>
  <ignoredErrors>
    <ignoredError sqref="F21:F22 C53 F24"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129A3-EE9D-447B-B9AE-E22B2FEEC3BE}">
  <dimension ref="A1:WVP1073"/>
  <sheetViews>
    <sheetView workbookViewId="0">
      <selection activeCell="F1" sqref="F1"/>
    </sheetView>
  </sheetViews>
  <sheetFormatPr defaultColWidth="0" defaultRowHeight="16.5" zeroHeight="1"/>
  <cols>
    <col min="1" max="1" width="2.625" style="1" customWidth="1"/>
    <col min="2" max="2" width="37.5" style="1" customWidth="1"/>
    <col min="3" max="4" width="9.625" style="1" customWidth="1"/>
    <col min="5" max="6" width="14.375" style="1" customWidth="1"/>
    <col min="7" max="7" width="11.75" style="1" customWidth="1"/>
    <col min="8" max="8" width="11.875" style="1" customWidth="1"/>
    <col min="9" max="9" width="9" style="1" hidden="1"/>
    <col min="10" max="257" width="8" style="1" hidden="1"/>
    <col min="258" max="258" width="28.125" style="1" hidden="1"/>
    <col min="259" max="259" width="8.125" style="1" hidden="1"/>
    <col min="260" max="260" width="9.125" style="1" hidden="1"/>
    <col min="261" max="261" width="9.75" style="1" hidden="1"/>
    <col min="262" max="262" width="11.125" style="1" hidden="1"/>
    <col min="263" max="263" width="10.375" style="1" hidden="1"/>
    <col min="264" max="264" width="10.5" style="1" hidden="1"/>
    <col min="265" max="513" width="8" style="1" hidden="1"/>
    <col min="514" max="514" width="28.125" style="1" hidden="1"/>
    <col min="515" max="515" width="8.125" style="1" hidden="1"/>
    <col min="516" max="516" width="9.125" style="1" hidden="1"/>
    <col min="517" max="517" width="9.75" style="1" hidden="1"/>
    <col min="518" max="518" width="11.125" style="1" hidden="1"/>
    <col min="519" max="519" width="10.375" style="1" hidden="1"/>
    <col min="520" max="520" width="10.5" style="1" hidden="1"/>
    <col min="521" max="769" width="8" style="1" hidden="1"/>
    <col min="770" max="770" width="28.125" style="1" hidden="1"/>
    <col min="771" max="771" width="8.125" style="1" hidden="1"/>
    <col min="772" max="772" width="9.125" style="1" hidden="1"/>
    <col min="773" max="773" width="9.75" style="1" hidden="1"/>
    <col min="774" max="774" width="11.125" style="1" hidden="1"/>
    <col min="775" max="775" width="10.375" style="1" hidden="1"/>
    <col min="776" max="776" width="10.5" style="1" hidden="1"/>
    <col min="777" max="1025" width="9" style="1" hidden="1"/>
    <col min="1026" max="1026" width="28.125" style="1" hidden="1"/>
    <col min="1027" max="1027" width="8.125" style="1" hidden="1"/>
    <col min="1028" max="1028" width="9.125" style="1" hidden="1"/>
    <col min="1029" max="1029" width="9.75" style="1" hidden="1"/>
    <col min="1030" max="1030" width="11.125" style="1" hidden="1"/>
    <col min="1031" max="1031" width="10.375" style="1" hidden="1"/>
    <col min="1032" max="1032" width="10.5" style="1" hidden="1"/>
    <col min="1033" max="1281" width="8" style="1" hidden="1"/>
    <col min="1282" max="1282" width="28.125" style="1" hidden="1"/>
    <col min="1283" max="1283" width="8.125" style="1" hidden="1"/>
    <col min="1284" max="1284" width="9.125" style="1" hidden="1"/>
    <col min="1285" max="1285" width="9.75" style="1" hidden="1"/>
    <col min="1286" max="1286" width="11.125" style="1" hidden="1"/>
    <col min="1287" max="1287" width="10.375" style="1" hidden="1"/>
    <col min="1288" max="1288" width="10.5" style="1" hidden="1"/>
    <col min="1289" max="1537" width="8" style="1" hidden="1"/>
    <col min="1538" max="1538" width="28.125" style="1" hidden="1"/>
    <col min="1539" max="1539" width="8.125" style="1" hidden="1"/>
    <col min="1540" max="1540" width="9.125" style="1" hidden="1"/>
    <col min="1541" max="1541" width="9.75" style="1" hidden="1"/>
    <col min="1542" max="1542" width="11.125" style="1" hidden="1"/>
    <col min="1543" max="1543" width="10.375" style="1" hidden="1"/>
    <col min="1544" max="1544" width="10.5" style="1" hidden="1"/>
    <col min="1545" max="1793" width="8" style="1" hidden="1"/>
    <col min="1794" max="1794" width="28.125" style="1" hidden="1"/>
    <col min="1795" max="1795" width="8.125" style="1" hidden="1"/>
    <col min="1796" max="1796" width="9.125" style="1" hidden="1"/>
    <col min="1797" max="1797" width="9.75" style="1" hidden="1"/>
    <col min="1798" max="1798" width="11.125" style="1" hidden="1"/>
    <col min="1799" max="1799" width="10.375" style="1" hidden="1"/>
    <col min="1800" max="1800" width="10.5" style="1" hidden="1"/>
    <col min="1801" max="2049" width="9" style="1" hidden="1"/>
    <col min="2050" max="2050" width="28.125" style="1" hidden="1"/>
    <col min="2051" max="2051" width="8.125" style="1" hidden="1"/>
    <col min="2052" max="2052" width="9.125" style="1" hidden="1"/>
    <col min="2053" max="2053" width="9.75" style="1" hidden="1"/>
    <col min="2054" max="2054" width="11.125" style="1" hidden="1"/>
    <col min="2055" max="2055" width="10.375" style="1" hidden="1"/>
    <col min="2056" max="2056" width="10.5" style="1" hidden="1"/>
    <col min="2057" max="2305" width="8" style="1" hidden="1"/>
    <col min="2306" max="2306" width="28.125" style="1" hidden="1"/>
    <col min="2307" max="2307" width="8.125" style="1" hidden="1"/>
    <col min="2308" max="2308" width="9.125" style="1" hidden="1"/>
    <col min="2309" max="2309" width="9.75" style="1" hidden="1"/>
    <col min="2310" max="2310" width="11.125" style="1" hidden="1"/>
    <col min="2311" max="2311" width="10.375" style="1" hidden="1"/>
    <col min="2312" max="2312" width="10.5" style="1" hidden="1"/>
    <col min="2313" max="2561" width="8" style="1" hidden="1"/>
    <col min="2562" max="2562" width="28.125" style="1" hidden="1"/>
    <col min="2563" max="2563" width="8.125" style="1" hidden="1"/>
    <col min="2564" max="2564" width="9.125" style="1" hidden="1"/>
    <col min="2565" max="2565" width="9.75" style="1" hidden="1"/>
    <col min="2566" max="2566" width="11.125" style="1" hidden="1"/>
    <col min="2567" max="2567" width="10.375" style="1" hidden="1"/>
    <col min="2568" max="2568" width="10.5" style="1" hidden="1"/>
    <col min="2569" max="2817" width="8" style="1" hidden="1"/>
    <col min="2818" max="2818" width="28.125" style="1" hidden="1"/>
    <col min="2819" max="2819" width="8.125" style="1" hidden="1"/>
    <col min="2820" max="2820" width="9.125" style="1" hidden="1"/>
    <col min="2821" max="2821" width="9.75" style="1" hidden="1"/>
    <col min="2822" max="2822" width="11.125" style="1" hidden="1"/>
    <col min="2823" max="2823" width="10.375" style="1" hidden="1"/>
    <col min="2824" max="2824" width="10.5" style="1" hidden="1"/>
    <col min="2825" max="3073" width="9" style="1" hidden="1"/>
    <col min="3074" max="3074" width="28.125" style="1" hidden="1"/>
    <col min="3075" max="3075" width="8.125" style="1" hidden="1"/>
    <col min="3076" max="3076" width="9.125" style="1" hidden="1"/>
    <col min="3077" max="3077" width="9.75" style="1" hidden="1"/>
    <col min="3078" max="3078" width="11.125" style="1" hidden="1"/>
    <col min="3079" max="3079" width="10.375" style="1" hidden="1"/>
    <col min="3080" max="3080" width="10.5" style="1" hidden="1"/>
    <col min="3081" max="3329" width="8" style="1" hidden="1"/>
    <col min="3330" max="3330" width="28.125" style="1" hidden="1"/>
    <col min="3331" max="3331" width="8.125" style="1" hidden="1"/>
    <col min="3332" max="3332" width="9.125" style="1" hidden="1"/>
    <col min="3333" max="3333" width="9.75" style="1" hidden="1"/>
    <col min="3334" max="3334" width="11.125" style="1" hidden="1"/>
    <col min="3335" max="3335" width="10.375" style="1" hidden="1"/>
    <col min="3336" max="3336" width="10.5" style="1" hidden="1"/>
    <col min="3337" max="3585" width="8" style="1" hidden="1"/>
    <col min="3586" max="3586" width="28.125" style="1" hidden="1"/>
    <col min="3587" max="3587" width="8.125" style="1" hidden="1"/>
    <col min="3588" max="3588" width="9.125" style="1" hidden="1"/>
    <col min="3589" max="3589" width="9.75" style="1" hidden="1"/>
    <col min="3590" max="3590" width="11.125" style="1" hidden="1"/>
    <col min="3591" max="3591" width="10.375" style="1" hidden="1"/>
    <col min="3592" max="3592" width="10.5" style="1" hidden="1"/>
    <col min="3593" max="3841" width="8" style="1" hidden="1"/>
    <col min="3842" max="3842" width="28.125" style="1" hidden="1"/>
    <col min="3843" max="3843" width="8.125" style="1" hidden="1"/>
    <col min="3844" max="3844" width="9.125" style="1" hidden="1"/>
    <col min="3845" max="3845" width="9.75" style="1" hidden="1"/>
    <col min="3846" max="3846" width="11.125" style="1" hidden="1"/>
    <col min="3847" max="3847" width="10.375" style="1" hidden="1"/>
    <col min="3848" max="3848" width="10.5" style="1" hidden="1"/>
    <col min="3849" max="4097" width="9" style="1" hidden="1"/>
    <col min="4098" max="4098" width="28.125" style="1" hidden="1"/>
    <col min="4099" max="4099" width="8.125" style="1" hidden="1"/>
    <col min="4100" max="4100" width="9.125" style="1" hidden="1"/>
    <col min="4101" max="4101" width="9.75" style="1" hidden="1"/>
    <col min="4102" max="4102" width="11.125" style="1" hidden="1"/>
    <col min="4103" max="4103" width="10.375" style="1" hidden="1"/>
    <col min="4104" max="4104" width="10.5" style="1" hidden="1"/>
    <col min="4105" max="4353" width="8" style="1" hidden="1"/>
    <col min="4354" max="4354" width="28.125" style="1" hidden="1"/>
    <col min="4355" max="4355" width="8.125" style="1" hidden="1"/>
    <col min="4356" max="4356" width="9.125" style="1" hidden="1"/>
    <col min="4357" max="4357" width="9.75" style="1" hidden="1"/>
    <col min="4358" max="4358" width="11.125" style="1" hidden="1"/>
    <col min="4359" max="4359" width="10.375" style="1" hidden="1"/>
    <col min="4360" max="4360" width="10.5" style="1" hidden="1"/>
    <col min="4361" max="4609" width="8" style="1" hidden="1"/>
    <col min="4610" max="4610" width="28.125" style="1" hidden="1"/>
    <col min="4611" max="4611" width="8.125" style="1" hidden="1"/>
    <col min="4612" max="4612" width="9.125" style="1" hidden="1"/>
    <col min="4613" max="4613" width="9.75" style="1" hidden="1"/>
    <col min="4614" max="4614" width="11.125" style="1" hidden="1"/>
    <col min="4615" max="4615" width="10.375" style="1" hidden="1"/>
    <col min="4616" max="4616" width="10.5" style="1" hidden="1"/>
    <col min="4617" max="4865" width="8" style="1" hidden="1"/>
    <col min="4866" max="4866" width="28.125" style="1" hidden="1"/>
    <col min="4867" max="4867" width="8.125" style="1" hidden="1"/>
    <col min="4868" max="4868" width="9.125" style="1" hidden="1"/>
    <col min="4869" max="4869" width="9.75" style="1" hidden="1"/>
    <col min="4870" max="4870" width="11.125" style="1" hidden="1"/>
    <col min="4871" max="4871" width="10.375" style="1" hidden="1"/>
    <col min="4872" max="4872" width="10.5" style="1" hidden="1"/>
    <col min="4873" max="5121" width="9" style="1" hidden="1"/>
    <col min="5122" max="5122" width="28.125" style="1" hidden="1"/>
    <col min="5123" max="5123" width="8.125" style="1" hidden="1"/>
    <col min="5124" max="5124" width="9.125" style="1" hidden="1"/>
    <col min="5125" max="5125" width="9.75" style="1" hidden="1"/>
    <col min="5126" max="5126" width="11.125" style="1" hidden="1"/>
    <col min="5127" max="5127" width="10.375" style="1" hidden="1"/>
    <col min="5128" max="5128" width="10.5" style="1" hidden="1"/>
    <col min="5129" max="5377" width="8" style="1" hidden="1"/>
    <col min="5378" max="5378" width="28.125" style="1" hidden="1"/>
    <col min="5379" max="5379" width="8.125" style="1" hidden="1"/>
    <col min="5380" max="5380" width="9.125" style="1" hidden="1"/>
    <col min="5381" max="5381" width="9.75" style="1" hidden="1"/>
    <col min="5382" max="5382" width="11.125" style="1" hidden="1"/>
    <col min="5383" max="5383" width="10.375" style="1" hidden="1"/>
    <col min="5384" max="5384" width="10.5" style="1" hidden="1"/>
    <col min="5385" max="5633" width="8" style="1" hidden="1"/>
    <col min="5634" max="5634" width="28.125" style="1" hidden="1"/>
    <col min="5635" max="5635" width="8.125" style="1" hidden="1"/>
    <col min="5636" max="5636" width="9.125" style="1" hidden="1"/>
    <col min="5637" max="5637" width="9.75" style="1" hidden="1"/>
    <col min="5638" max="5638" width="11.125" style="1" hidden="1"/>
    <col min="5639" max="5639" width="10.375" style="1" hidden="1"/>
    <col min="5640" max="5640" width="10.5" style="1" hidden="1"/>
    <col min="5641" max="5889" width="8" style="1" hidden="1"/>
    <col min="5890" max="5890" width="28.125" style="1" hidden="1"/>
    <col min="5891" max="5891" width="8.125" style="1" hidden="1"/>
    <col min="5892" max="5892" width="9.125" style="1" hidden="1"/>
    <col min="5893" max="5893" width="9.75" style="1" hidden="1"/>
    <col min="5894" max="5894" width="11.125" style="1" hidden="1"/>
    <col min="5895" max="5895" width="10.375" style="1" hidden="1"/>
    <col min="5896" max="5896" width="10.5" style="1" hidden="1"/>
    <col min="5897" max="6145" width="9" style="1" hidden="1"/>
    <col min="6146" max="6146" width="28.125" style="1" hidden="1"/>
    <col min="6147" max="6147" width="8.125" style="1" hidden="1"/>
    <col min="6148" max="6148" width="9.125" style="1" hidden="1"/>
    <col min="6149" max="6149" width="9.75" style="1" hidden="1"/>
    <col min="6150" max="6150" width="11.125" style="1" hidden="1"/>
    <col min="6151" max="6151" width="10.375" style="1" hidden="1"/>
    <col min="6152" max="6152" width="10.5" style="1" hidden="1"/>
    <col min="6153" max="6401" width="8" style="1" hidden="1"/>
    <col min="6402" max="6402" width="28.125" style="1" hidden="1"/>
    <col min="6403" max="6403" width="8.125" style="1" hidden="1"/>
    <col min="6404" max="6404" width="9.125" style="1" hidden="1"/>
    <col min="6405" max="6405" width="9.75" style="1" hidden="1"/>
    <col min="6406" max="6406" width="11.125" style="1" hidden="1"/>
    <col min="6407" max="6407" width="10.375" style="1" hidden="1"/>
    <col min="6408" max="6408" width="10.5" style="1" hidden="1"/>
    <col min="6409" max="6657" width="8" style="1" hidden="1"/>
    <col min="6658" max="6658" width="28.125" style="1" hidden="1"/>
    <col min="6659" max="6659" width="8.125" style="1" hidden="1"/>
    <col min="6660" max="6660" width="9.125" style="1" hidden="1"/>
    <col min="6661" max="6661" width="9.75" style="1" hidden="1"/>
    <col min="6662" max="6662" width="11.125" style="1" hidden="1"/>
    <col min="6663" max="6663" width="10.375" style="1" hidden="1"/>
    <col min="6664" max="6664" width="10.5" style="1" hidden="1"/>
    <col min="6665" max="6913" width="8" style="1" hidden="1"/>
    <col min="6914" max="6914" width="28.125" style="1" hidden="1"/>
    <col min="6915" max="6915" width="8.125" style="1" hidden="1"/>
    <col min="6916" max="6916" width="9.125" style="1" hidden="1"/>
    <col min="6917" max="6917" width="9.75" style="1" hidden="1"/>
    <col min="6918" max="6918" width="11.125" style="1" hidden="1"/>
    <col min="6919" max="6919" width="10.375" style="1" hidden="1"/>
    <col min="6920" max="6920" width="10.5" style="1" hidden="1"/>
    <col min="6921" max="7169" width="9" style="1" hidden="1"/>
    <col min="7170" max="7170" width="28.125" style="1" hidden="1"/>
    <col min="7171" max="7171" width="8.125" style="1" hidden="1"/>
    <col min="7172" max="7172" width="9.125" style="1" hidden="1"/>
    <col min="7173" max="7173" width="9.75" style="1" hidden="1"/>
    <col min="7174" max="7174" width="11.125" style="1" hidden="1"/>
    <col min="7175" max="7175" width="10.375" style="1" hidden="1"/>
    <col min="7176" max="7176" width="10.5" style="1" hidden="1"/>
    <col min="7177" max="7425" width="8" style="1" hidden="1"/>
    <col min="7426" max="7426" width="28.125" style="1" hidden="1"/>
    <col min="7427" max="7427" width="8.125" style="1" hidden="1"/>
    <col min="7428" max="7428" width="9.125" style="1" hidden="1"/>
    <col min="7429" max="7429" width="9.75" style="1" hidden="1"/>
    <col min="7430" max="7430" width="11.125" style="1" hidden="1"/>
    <col min="7431" max="7431" width="10.375" style="1" hidden="1"/>
    <col min="7432" max="7432" width="10.5" style="1" hidden="1"/>
    <col min="7433" max="7681" width="8" style="1" hidden="1"/>
    <col min="7682" max="7682" width="28.125" style="1" hidden="1"/>
    <col min="7683" max="7683" width="8.125" style="1" hidden="1"/>
    <col min="7684" max="7684" width="9.125" style="1" hidden="1"/>
    <col min="7685" max="7685" width="9.75" style="1" hidden="1"/>
    <col min="7686" max="7686" width="11.125" style="1" hidden="1"/>
    <col min="7687" max="7687" width="10.375" style="1" hidden="1"/>
    <col min="7688" max="7688" width="10.5" style="1" hidden="1"/>
    <col min="7689" max="7937" width="8" style="1" hidden="1"/>
    <col min="7938" max="7938" width="28.125" style="1" hidden="1"/>
    <col min="7939" max="7939" width="8.125" style="1" hidden="1"/>
    <col min="7940" max="7940" width="9.125" style="1" hidden="1"/>
    <col min="7941" max="7941" width="9.75" style="1" hidden="1"/>
    <col min="7942" max="7942" width="11.125" style="1" hidden="1"/>
    <col min="7943" max="7943" width="10.375" style="1" hidden="1"/>
    <col min="7944" max="7944" width="10.5" style="1" hidden="1"/>
    <col min="7945" max="8193" width="9" style="1" hidden="1"/>
    <col min="8194" max="8194" width="28.125" style="1" hidden="1"/>
    <col min="8195" max="8195" width="8.125" style="1" hidden="1"/>
    <col min="8196" max="8196" width="9.125" style="1" hidden="1"/>
    <col min="8197" max="8197" width="9.75" style="1" hidden="1"/>
    <col min="8198" max="8198" width="11.125" style="1" hidden="1"/>
    <col min="8199" max="8199" width="10.375" style="1" hidden="1"/>
    <col min="8200" max="8200" width="10.5" style="1" hidden="1"/>
    <col min="8201" max="8449" width="8" style="1" hidden="1"/>
    <col min="8450" max="8450" width="28.125" style="1" hidden="1"/>
    <col min="8451" max="8451" width="8.125" style="1" hidden="1"/>
    <col min="8452" max="8452" width="9.125" style="1" hidden="1"/>
    <col min="8453" max="8453" width="9.75" style="1" hidden="1"/>
    <col min="8454" max="8454" width="11.125" style="1" hidden="1"/>
    <col min="8455" max="8455" width="10.375" style="1" hidden="1"/>
    <col min="8456" max="8456" width="10.5" style="1" hidden="1"/>
    <col min="8457" max="8705" width="8" style="1" hidden="1"/>
    <col min="8706" max="8706" width="28.125" style="1" hidden="1"/>
    <col min="8707" max="8707" width="8.125" style="1" hidden="1"/>
    <col min="8708" max="8708" width="9.125" style="1" hidden="1"/>
    <col min="8709" max="8709" width="9.75" style="1" hidden="1"/>
    <col min="8710" max="8710" width="11.125" style="1" hidden="1"/>
    <col min="8711" max="8711" width="10.375" style="1" hidden="1"/>
    <col min="8712" max="8712" width="10.5" style="1" hidden="1"/>
    <col min="8713" max="8961" width="8" style="1" hidden="1"/>
    <col min="8962" max="8962" width="28.125" style="1" hidden="1"/>
    <col min="8963" max="8963" width="8.125" style="1" hidden="1"/>
    <col min="8964" max="8964" width="9.125" style="1" hidden="1"/>
    <col min="8965" max="8965" width="9.75" style="1" hidden="1"/>
    <col min="8966" max="8966" width="11.125" style="1" hidden="1"/>
    <col min="8967" max="8967" width="10.375" style="1" hidden="1"/>
    <col min="8968" max="8968" width="10.5" style="1" hidden="1"/>
    <col min="8969" max="9217" width="9" style="1" hidden="1"/>
    <col min="9218" max="9218" width="28.125" style="1" hidden="1"/>
    <col min="9219" max="9219" width="8.125" style="1" hidden="1"/>
    <col min="9220" max="9220" width="9.125" style="1" hidden="1"/>
    <col min="9221" max="9221" width="9.75" style="1" hidden="1"/>
    <col min="9222" max="9222" width="11.125" style="1" hidden="1"/>
    <col min="9223" max="9223" width="10.375" style="1" hidden="1"/>
    <col min="9224" max="9224" width="10.5" style="1" hidden="1"/>
    <col min="9225" max="9473" width="8" style="1" hidden="1"/>
    <col min="9474" max="9474" width="28.125" style="1" hidden="1"/>
    <col min="9475" max="9475" width="8.125" style="1" hidden="1"/>
    <col min="9476" max="9476" width="9.125" style="1" hidden="1"/>
    <col min="9477" max="9477" width="9.75" style="1" hidden="1"/>
    <col min="9478" max="9478" width="11.125" style="1" hidden="1"/>
    <col min="9479" max="9479" width="10.375" style="1" hidden="1"/>
    <col min="9480" max="9480" width="10.5" style="1" hidden="1"/>
    <col min="9481" max="9729" width="8" style="1" hidden="1"/>
    <col min="9730" max="9730" width="28.125" style="1" hidden="1"/>
    <col min="9731" max="9731" width="8.125" style="1" hidden="1"/>
    <col min="9732" max="9732" width="9.125" style="1" hidden="1"/>
    <col min="9733" max="9733" width="9.75" style="1" hidden="1"/>
    <col min="9734" max="9734" width="11.125" style="1" hidden="1"/>
    <col min="9735" max="9735" width="10.375" style="1" hidden="1"/>
    <col min="9736" max="9736" width="10.5" style="1" hidden="1"/>
    <col min="9737" max="9985" width="8" style="1" hidden="1"/>
    <col min="9986" max="9986" width="28.125" style="1" hidden="1"/>
    <col min="9987" max="9987" width="8.125" style="1" hidden="1"/>
    <col min="9988" max="9988" width="9.125" style="1" hidden="1"/>
    <col min="9989" max="9989" width="9.75" style="1" hidden="1"/>
    <col min="9990" max="9990" width="11.125" style="1" hidden="1"/>
    <col min="9991" max="9991" width="10.375" style="1" hidden="1"/>
    <col min="9992" max="9992" width="10.5" style="1" hidden="1"/>
    <col min="9993" max="10241" width="9" style="1" hidden="1"/>
    <col min="10242" max="10242" width="28.125" style="1" hidden="1"/>
    <col min="10243" max="10243" width="8.125" style="1" hidden="1"/>
    <col min="10244" max="10244" width="9.125" style="1" hidden="1"/>
    <col min="10245" max="10245" width="9.75" style="1" hidden="1"/>
    <col min="10246" max="10246" width="11.125" style="1" hidden="1"/>
    <col min="10247" max="10247" width="10.375" style="1" hidden="1"/>
    <col min="10248" max="10248" width="10.5" style="1" hidden="1"/>
    <col min="10249" max="10497" width="8" style="1" hidden="1"/>
    <col min="10498" max="10498" width="28.125" style="1" hidden="1"/>
    <col min="10499" max="10499" width="8.125" style="1" hidden="1"/>
    <col min="10500" max="10500" width="9.125" style="1" hidden="1"/>
    <col min="10501" max="10501" width="9.75" style="1" hidden="1"/>
    <col min="10502" max="10502" width="11.125" style="1" hidden="1"/>
    <col min="10503" max="10503" width="10.375" style="1" hidden="1"/>
    <col min="10504" max="10504" width="10.5" style="1" hidden="1"/>
    <col min="10505" max="10753" width="8" style="1" hidden="1"/>
    <col min="10754" max="10754" width="28.125" style="1" hidden="1"/>
    <col min="10755" max="10755" width="8.125" style="1" hidden="1"/>
    <col min="10756" max="10756" width="9.125" style="1" hidden="1"/>
    <col min="10757" max="10757" width="9.75" style="1" hidden="1"/>
    <col min="10758" max="10758" width="11.125" style="1" hidden="1"/>
    <col min="10759" max="10759" width="10.375" style="1" hidden="1"/>
    <col min="10760" max="10760" width="10.5" style="1" hidden="1"/>
    <col min="10761" max="11009" width="8" style="1" hidden="1"/>
    <col min="11010" max="11010" width="28.125" style="1" hidden="1"/>
    <col min="11011" max="11011" width="8.125" style="1" hidden="1"/>
    <col min="11012" max="11012" width="9.125" style="1" hidden="1"/>
    <col min="11013" max="11013" width="9.75" style="1" hidden="1"/>
    <col min="11014" max="11014" width="11.125" style="1" hidden="1"/>
    <col min="11015" max="11015" width="10.375" style="1" hidden="1"/>
    <col min="11016" max="11016" width="10.5" style="1" hidden="1"/>
    <col min="11017" max="11265" width="9" style="1" hidden="1"/>
    <col min="11266" max="11266" width="28.125" style="1" hidden="1"/>
    <col min="11267" max="11267" width="8.125" style="1" hidden="1"/>
    <col min="11268" max="11268" width="9.125" style="1" hidden="1"/>
    <col min="11269" max="11269" width="9.75" style="1" hidden="1"/>
    <col min="11270" max="11270" width="11.125" style="1" hidden="1"/>
    <col min="11271" max="11271" width="10.375" style="1" hidden="1"/>
    <col min="11272" max="11272" width="10.5" style="1" hidden="1"/>
    <col min="11273" max="11521" width="8" style="1" hidden="1"/>
    <col min="11522" max="11522" width="28.125" style="1" hidden="1"/>
    <col min="11523" max="11523" width="8.125" style="1" hidden="1"/>
    <col min="11524" max="11524" width="9.125" style="1" hidden="1"/>
    <col min="11525" max="11525" width="9.75" style="1" hidden="1"/>
    <col min="11526" max="11526" width="11.125" style="1" hidden="1"/>
    <col min="11527" max="11527" width="10.375" style="1" hidden="1"/>
    <col min="11528" max="11528" width="10.5" style="1" hidden="1"/>
    <col min="11529" max="11777" width="8" style="1" hidden="1"/>
    <col min="11778" max="11778" width="28.125" style="1" hidden="1"/>
    <col min="11779" max="11779" width="8.125" style="1" hidden="1"/>
    <col min="11780" max="11780" width="9.125" style="1" hidden="1"/>
    <col min="11781" max="11781" width="9.75" style="1" hidden="1"/>
    <col min="11782" max="11782" width="11.125" style="1" hidden="1"/>
    <col min="11783" max="11783" width="10.375" style="1" hidden="1"/>
    <col min="11784" max="11784" width="10.5" style="1" hidden="1"/>
    <col min="11785" max="12033" width="8" style="1" hidden="1"/>
    <col min="12034" max="12034" width="28.125" style="1" hidden="1"/>
    <col min="12035" max="12035" width="8.125" style="1" hidden="1"/>
    <col min="12036" max="12036" width="9.125" style="1" hidden="1"/>
    <col min="12037" max="12037" width="9.75" style="1" hidden="1"/>
    <col min="12038" max="12038" width="11.125" style="1" hidden="1"/>
    <col min="12039" max="12039" width="10.375" style="1" hidden="1"/>
    <col min="12040" max="12040" width="10.5" style="1" hidden="1"/>
    <col min="12041" max="12289" width="9" style="1" hidden="1"/>
    <col min="12290" max="12290" width="28.125" style="1" hidden="1"/>
    <col min="12291" max="12291" width="8.125" style="1" hidden="1"/>
    <col min="12292" max="12292" width="9.125" style="1" hidden="1"/>
    <col min="12293" max="12293" width="9.75" style="1" hidden="1"/>
    <col min="12294" max="12294" width="11.125" style="1" hidden="1"/>
    <col min="12295" max="12295" width="10.375" style="1" hidden="1"/>
    <col min="12296" max="12296" width="10.5" style="1" hidden="1"/>
    <col min="12297" max="12545" width="8" style="1" hidden="1"/>
    <col min="12546" max="12546" width="28.125" style="1" hidden="1"/>
    <col min="12547" max="12547" width="8.125" style="1" hidden="1"/>
    <col min="12548" max="12548" width="9.125" style="1" hidden="1"/>
    <col min="12549" max="12549" width="9.75" style="1" hidden="1"/>
    <col min="12550" max="12550" width="11.125" style="1" hidden="1"/>
    <col min="12551" max="12551" width="10.375" style="1" hidden="1"/>
    <col min="12552" max="12552" width="10.5" style="1" hidden="1"/>
    <col min="12553" max="12801" width="8" style="1" hidden="1"/>
    <col min="12802" max="12802" width="28.125" style="1" hidden="1"/>
    <col min="12803" max="12803" width="8.125" style="1" hidden="1"/>
    <col min="12804" max="12804" width="9.125" style="1" hidden="1"/>
    <col min="12805" max="12805" width="9.75" style="1" hidden="1"/>
    <col min="12806" max="12806" width="11.125" style="1" hidden="1"/>
    <col min="12807" max="12807" width="10.375" style="1" hidden="1"/>
    <col min="12808" max="12808" width="10.5" style="1" hidden="1"/>
    <col min="12809" max="13057" width="8" style="1" hidden="1"/>
    <col min="13058" max="13058" width="28.125" style="1" hidden="1"/>
    <col min="13059" max="13059" width="8.125" style="1" hidden="1"/>
    <col min="13060" max="13060" width="9.125" style="1" hidden="1"/>
    <col min="13061" max="13061" width="9.75" style="1" hidden="1"/>
    <col min="13062" max="13062" width="11.125" style="1" hidden="1"/>
    <col min="13063" max="13063" width="10.375" style="1" hidden="1"/>
    <col min="13064" max="13064" width="10.5" style="1" hidden="1"/>
    <col min="13065" max="13313" width="9" style="1" hidden="1"/>
    <col min="13314" max="13314" width="28.125" style="1" hidden="1"/>
    <col min="13315" max="13315" width="8.125" style="1" hidden="1"/>
    <col min="13316" max="13316" width="9.125" style="1" hidden="1"/>
    <col min="13317" max="13317" width="9.75" style="1" hidden="1"/>
    <col min="13318" max="13318" width="11.125" style="1" hidden="1"/>
    <col min="13319" max="13319" width="10.375" style="1" hidden="1"/>
    <col min="13320" max="13320" width="10.5" style="1" hidden="1"/>
    <col min="13321" max="13569" width="8" style="1" hidden="1"/>
    <col min="13570" max="13570" width="28.125" style="1" hidden="1"/>
    <col min="13571" max="13571" width="8.125" style="1" hidden="1"/>
    <col min="13572" max="13572" width="9.125" style="1" hidden="1"/>
    <col min="13573" max="13573" width="9.75" style="1" hidden="1"/>
    <col min="13574" max="13574" width="11.125" style="1" hidden="1"/>
    <col min="13575" max="13575" width="10.375" style="1" hidden="1"/>
    <col min="13576" max="13576" width="10.5" style="1" hidden="1"/>
    <col min="13577" max="13825" width="8" style="1" hidden="1"/>
    <col min="13826" max="13826" width="28.125" style="1" hidden="1"/>
    <col min="13827" max="13827" width="8.125" style="1" hidden="1"/>
    <col min="13828" max="13828" width="9.125" style="1" hidden="1"/>
    <col min="13829" max="13829" width="9.75" style="1" hidden="1"/>
    <col min="13830" max="13830" width="11.125" style="1" hidden="1"/>
    <col min="13831" max="13831" width="10.375" style="1" hidden="1"/>
    <col min="13832" max="13832" width="10.5" style="1" hidden="1"/>
    <col min="13833" max="14081" width="8" style="1" hidden="1"/>
    <col min="14082" max="14082" width="28.125" style="1" hidden="1"/>
    <col min="14083" max="14083" width="8.125" style="1" hidden="1"/>
    <col min="14084" max="14084" width="9.125" style="1" hidden="1"/>
    <col min="14085" max="14085" width="9.75" style="1" hidden="1"/>
    <col min="14086" max="14086" width="11.125" style="1" hidden="1"/>
    <col min="14087" max="14087" width="10.375" style="1" hidden="1"/>
    <col min="14088" max="14088" width="10.5" style="1" hidden="1"/>
    <col min="14089" max="14337" width="9" style="1" hidden="1"/>
    <col min="14338" max="14338" width="28.125" style="1" hidden="1"/>
    <col min="14339" max="14339" width="8.125" style="1" hidden="1"/>
    <col min="14340" max="14340" width="9.125" style="1" hidden="1"/>
    <col min="14341" max="14341" width="9.75" style="1" hidden="1"/>
    <col min="14342" max="14342" width="11.125" style="1" hidden="1"/>
    <col min="14343" max="14343" width="10.375" style="1" hidden="1"/>
    <col min="14344" max="14344" width="10.5" style="1" hidden="1"/>
    <col min="14345" max="14593" width="8" style="1" hidden="1"/>
    <col min="14594" max="14594" width="28.125" style="1" hidden="1"/>
    <col min="14595" max="14595" width="8.125" style="1" hidden="1"/>
    <col min="14596" max="14596" width="9.125" style="1" hidden="1"/>
    <col min="14597" max="14597" width="9.75" style="1" hidden="1"/>
    <col min="14598" max="14598" width="11.125" style="1" hidden="1"/>
    <col min="14599" max="14599" width="10.375" style="1" hidden="1"/>
    <col min="14600" max="14600" width="10.5" style="1" hidden="1"/>
    <col min="14601" max="14849" width="8" style="1" hidden="1"/>
    <col min="14850" max="14850" width="28.125" style="1" hidden="1"/>
    <col min="14851" max="14851" width="8.125" style="1" hidden="1"/>
    <col min="14852" max="14852" width="9.125" style="1" hidden="1"/>
    <col min="14853" max="14853" width="9.75" style="1" hidden="1"/>
    <col min="14854" max="14854" width="11.125" style="1" hidden="1"/>
    <col min="14855" max="14855" width="10.375" style="1" hidden="1"/>
    <col min="14856" max="14856" width="10.5" style="1" hidden="1"/>
    <col min="14857" max="15105" width="8" style="1" hidden="1"/>
    <col min="15106" max="15106" width="28.125" style="1" hidden="1"/>
    <col min="15107" max="15107" width="8.125" style="1" hidden="1"/>
    <col min="15108" max="15108" width="9.125" style="1" hidden="1"/>
    <col min="15109" max="15109" width="9.75" style="1" hidden="1"/>
    <col min="15110" max="15110" width="11.125" style="1" hidden="1"/>
    <col min="15111" max="15111" width="10.375" style="1" hidden="1"/>
    <col min="15112" max="15112" width="10.5" style="1" hidden="1"/>
    <col min="15113" max="15361" width="9" style="1" hidden="1"/>
    <col min="15362" max="15362" width="28.125" style="1" hidden="1"/>
    <col min="15363" max="15363" width="8.125" style="1" hidden="1"/>
    <col min="15364" max="15364" width="9.125" style="1" hidden="1"/>
    <col min="15365" max="15365" width="9.75" style="1" hidden="1"/>
    <col min="15366" max="15366" width="11.125" style="1" hidden="1"/>
    <col min="15367" max="15367" width="10.375" style="1" hidden="1"/>
    <col min="15368" max="15368" width="10.5" style="1" hidden="1"/>
    <col min="15369" max="15617" width="8" style="1" hidden="1"/>
    <col min="15618" max="15618" width="28.125" style="1" hidden="1"/>
    <col min="15619" max="15619" width="8.125" style="1" hidden="1"/>
    <col min="15620" max="15620" width="9.125" style="1" hidden="1"/>
    <col min="15621" max="15621" width="9.75" style="1" hidden="1"/>
    <col min="15622" max="15622" width="11.125" style="1" hidden="1"/>
    <col min="15623" max="15623" width="10.375" style="1" hidden="1"/>
    <col min="15624" max="15624" width="10.5" style="1" hidden="1"/>
    <col min="15625" max="15873" width="8" style="1" hidden="1"/>
    <col min="15874" max="15874" width="28.125" style="1" hidden="1"/>
    <col min="15875" max="15875" width="8.125" style="1" hidden="1"/>
    <col min="15876" max="15876" width="9.125" style="1" hidden="1"/>
    <col min="15877" max="15877" width="9.75" style="1" hidden="1"/>
    <col min="15878" max="15878" width="11.125" style="1" hidden="1"/>
    <col min="15879" max="15879" width="10.375" style="1" hidden="1"/>
    <col min="15880" max="15880" width="10.5" style="1" hidden="1"/>
    <col min="15881" max="16129" width="8" style="1" hidden="1"/>
    <col min="16130" max="16130" width="28.125" style="1" hidden="1"/>
    <col min="16131" max="16131" width="8.125" style="1" hidden="1"/>
    <col min="16132" max="16132" width="9.125" style="1" hidden="1"/>
    <col min="16133" max="16133" width="9.75" style="1" hidden="1"/>
    <col min="16134" max="16134" width="11.125" style="1" hidden="1"/>
    <col min="16135" max="16135" width="10.375" style="1" hidden="1"/>
    <col min="16136" max="16136" width="10.5" style="1" hidden="1"/>
    <col min="16137" max="16384" width="9" style="1" hidden="1"/>
  </cols>
  <sheetData>
    <row r="1" spans="2:8" ht="15.95" customHeight="1">
      <c r="B1" s="3"/>
      <c r="C1" s="7"/>
      <c r="E1" s="45" t="s">
        <v>29</v>
      </c>
      <c r="F1" s="156" t="s">
        <v>393</v>
      </c>
      <c r="H1" s="249"/>
    </row>
    <row r="2" spans="2:8" ht="15.95" customHeight="1" thickBot="1">
      <c r="B2" s="3"/>
      <c r="C2" s="2"/>
      <c r="E2" s="2"/>
      <c r="F2" s="4"/>
      <c r="G2" s="4"/>
      <c r="H2" s="4"/>
    </row>
    <row r="3" spans="2:8" ht="20.25" customHeight="1" thickBot="1">
      <c r="B3" s="308" t="s">
        <v>437</v>
      </c>
      <c r="C3" s="309"/>
      <c r="D3" s="309"/>
      <c r="E3" s="309"/>
      <c r="F3" s="310"/>
      <c r="G3" s="4"/>
      <c r="H3" s="4"/>
    </row>
    <row r="4" spans="2:8" ht="15.95" customHeight="1">
      <c r="B4" s="270"/>
      <c r="C4" s="261"/>
      <c r="D4" s="262"/>
      <c r="E4" s="263"/>
      <c r="F4" s="271"/>
      <c r="G4" s="6" t="s">
        <v>30</v>
      </c>
      <c r="H4" s="6" t="s">
        <v>30</v>
      </c>
    </row>
    <row r="5" spans="2:8" ht="15.95" customHeight="1">
      <c r="B5" s="44"/>
      <c r="C5" s="54" t="s">
        <v>12</v>
      </c>
      <c r="D5" s="54" t="s">
        <v>17</v>
      </c>
      <c r="E5" s="55" t="s">
        <v>474</v>
      </c>
      <c r="F5" s="56" t="s">
        <v>468</v>
      </c>
      <c r="G5" s="9"/>
      <c r="H5" s="9"/>
    </row>
    <row r="6" spans="2:8" ht="15.95" customHeight="1">
      <c r="B6" s="51" t="s">
        <v>467</v>
      </c>
      <c r="C6" s="41"/>
      <c r="D6" s="41"/>
      <c r="E6" s="9"/>
      <c r="F6" s="8"/>
      <c r="G6" s="9"/>
      <c r="H6" s="9"/>
    </row>
    <row r="7" spans="2:8" ht="15.95" customHeight="1">
      <c r="B7" s="11" t="s">
        <v>374</v>
      </c>
      <c r="C7" s="7" t="s">
        <v>375</v>
      </c>
      <c r="D7" s="7">
        <f>Inputs!I9</f>
        <v>2</v>
      </c>
      <c r="E7" s="2">
        <f>Inputs!I10</f>
        <v>18</v>
      </c>
      <c r="F7" s="153">
        <f>D7*E7</f>
        <v>36</v>
      </c>
      <c r="G7" s="2"/>
      <c r="H7" s="2"/>
    </row>
    <row r="8" spans="2:8" ht="15.95" customHeight="1">
      <c r="B8" s="11" t="s">
        <v>370</v>
      </c>
      <c r="C8" s="7"/>
      <c r="D8" s="46">
        <v>0</v>
      </c>
      <c r="E8" s="47">
        <v>0</v>
      </c>
      <c r="F8" s="155">
        <f>D8*E8</f>
        <v>0</v>
      </c>
      <c r="G8" s="2"/>
      <c r="H8" s="2"/>
    </row>
    <row r="9" spans="2:8" ht="15.95" customHeight="1">
      <c r="B9" s="43" t="s">
        <v>470</v>
      </c>
      <c r="C9" s="2"/>
      <c r="D9" s="13"/>
      <c r="E9" s="13"/>
      <c r="F9" s="152">
        <f>SUM(F7:F8)</f>
        <v>36</v>
      </c>
      <c r="G9" s="2"/>
      <c r="H9" s="2"/>
    </row>
    <row r="10" spans="2:8" ht="15.95" customHeight="1">
      <c r="B10" s="5"/>
      <c r="C10" s="2"/>
      <c r="D10" s="13"/>
      <c r="E10" s="2"/>
      <c r="F10" s="12"/>
      <c r="G10" s="2"/>
      <c r="H10" s="2"/>
    </row>
    <row r="11" spans="2:8" ht="15.95" customHeight="1">
      <c r="B11" s="52" t="s">
        <v>476</v>
      </c>
      <c r="C11" s="55" t="s">
        <v>32</v>
      </c>
      <c r="D11" s="55" t="s">
        <v>31</v>
      </c>
      <c r="E11" s="55" t="s">
        <v>475</v>
      </c>
      <c r="F11" s="56" t="s">
        <v>468</v>
      </c>
      <c r="G11" s="14"/>
      <c r="H11" s="14"/>
    </row>
    <row r="12" spans="2:8" ht="15.95" customHeight="1">
      <c r="B12" s="15" t="s">
        <v>33</v>
      </c>
      <c r="C12" s="2"/>
      <c r="D12" s="13"/>
      <c r="E12" s="2"/>
      <c r="F12" s="153">
        <f>E13+E14</f>
        <v>44</v>
      </c>
      <c r="G12" s="2"/>
      <c r="H12" s="2"/>
    </row>
    <row r="13" spans="2:8" ht="15.95" customHeight="1">
      <c r="B13" s="15" t="s">
        <v>800</v>
      </c>
      <c r="C13" s="58">
        <f>Inputs!I14</f>
        <v>10</v>
      </c>
      <c r="D13" s="13">
        <f>Inputs!I17</f>
        <v>2</v>
      </c>
      <c r="E13" s="2">
        <f>C13*D13</f>
        <v>20</v>
      </c>
      <c r="F13" s="153"/>
      <c r="G13" s="2"/>
      <c r="H13" s="2"/>
    </row>
    <row r="14" spans="2:8" ht="15.95" customHeight="1">
      <c r="B14" s="15" t="s">
        <v>786</v>
      </c>
      <c r="C14" s="58">
        <f>Inputs!I15</f>
        <v>8</v>
      </c>
      <c r="D14" s="13">
        <f>Inputs!I18</f>
        <v>3</v>
      </c>
      <c r="E14" s="2">
        <f>C14*D14</f>
        <v>24</v>
      </c>
      <c r="F14" s="153"/>
      <c r="G14" s="2"/>
      <c r="H14" s="2"/>
    </row>
    <row r="15" spans="2:8" ht="15.95" customHeight="1">
      <c r="B15" s="15" t="s">
        <v>34</v>
      </c>
      <c r="C15" s="58"/>
      <c r="D15" s="13"/>
      <c r="E15" s="2"/>
      <c r="F15" s="153">
        <f>SUM(E16:E19)</f>
        <v>85.65</v>
      </c>
      <c r="G15" s="2"/>
      <c r="H15" s="2"/>
    </row>
    <row r="16" spans="2:8" ht="15.95" customHeight="1">
      <c r="B16" s="18" t="s">
        <v>35</v>
      </c>
      <c r="C16" s="58">
        <f>Inputs!I19</f>
        <v>30</v>
      </c>
      <c r="D16" s="13">
        <f>Inputs!D30</f>
        <v>0.6</v>
      </c>
      <c r="E16" s="2">
        <f>C16*D16</f>
        <v>18</v>
      </c>
      <c r="F16" s="153"/>
      <c r="G16" s="2"/>
      <c r="H16" s="2"/>
    </row>
    <row r="17" spans="2:8" ht="15.95" customHeight="1">
      <c r="B17" s="18" t="s">
        <v>36</v>
      </c>
      <c r="C17" s="58">
        <f>Inputs!I20</f>
        <v>35</v>
      </c>
      <c r="D17" s="13">
        <f>Inputs!D31</f>
        <v>0.62</v>
      </c>
      <c r="E17" s="2">
        <f t="shared" ref="E17:E19" si="0">C17*D17</f>
        <v>21.7</v>
      </c>
      <c r="F17" s="153"/>
      <c r="G17" s="2"/>
      <c r="H17" s="2"/>
    </row>
    <row r="18" spans="2:8" ht="15.95" customHeight="1">
      <c r="B18" s="18" t="s">
        <v>22</v>
      </c>
      <c r="C18" s="58">
        <f>Inputs!I21</f>
        <v>45</v>
      </c>
      <c r="D18" s="13">
        <f>Inputs!D32</f>
        <v>0.41</v>
      </c>
      <c r="E18" s="2">
        <f t="shared" si="0"/>
        <v>18.45</v>
      </c>
      <c r="F18" s="153"/>
      <c r="G18" s="2"/>
      <c r="H18" s="2"/>
    </row>
    <row r="19" spans="2:8" ht="15.95" customHeight="1">
      <c r="B19" s="18" t="s">
        <v>37</v>
      </c>
      <c r="C19" s="2">
        <f>Inputs!I22</f>
        <v>1</v>
      </c>
      <c r="D19" s="13">
        <f>Inputs!D33</f>
        <v>27.5</v>
      </c>
      <c r="E19" s="2">
        <f t="shared" si="0"/>
        <v>27.5</v>
      </c>
      <c r="F19" s="179"/>
      <c r="G19" s="2"/>
      <c r="H19" s="2"/>
    </row>
    <row r="20" spans="2:8" ht="15.95" customHeight="1">
      <c r="B20" s="15" t="s">
        <v>38</v>
      </c>
      <c r="C20" s="2"/>
      <c r="D20" s="13"/>
      <c r="E20" s="2"/>
      <c r="F20" s="153">
        <f>Inputs!I34</f>
        <v>20.48</v>
      </c>
      <c r="G20" s="2"/>
      <c r="H20" s="2"/>
    </row>
    <row r="21" spans="2:8" ht="15.95" customHeight="1">
      <c r="B21" s="15" t="s">
        <v>767</v>
      </c>
      <c r="C21" s="2"/>
      <c r="D21" s="13"/>
      <c r="E21" s="2"/>
      <c r="F21" s="180">
        <v>5</v>
      </c>
      <c r="G21" s="2"/>
      <c r="H21" s="2"/>
    </row>
    <row r="22" spans="2:8" ht="15.95" customHeight="1">
      <c r="B22" s="15" t="s">
        <v>39</v>
      </c>
      <c r="C22" s="2"/>
      <c r="D22" s="13"/>
      <c r="E22" s="2"/>
      <c r="F22" s="180">
        <v>0</v>
      </c>
      <c r="G22" s="2"/>
      <c r="H22" s="2"/>
    </row>
    <row r="23" spans="2:8" ht="15.95" customHeight="1">
      <c r="B23" s="15" t="s">
        <v>40</v>
      </c>
      <c r="C23" s="2"/>
      <c r="D23" s="13"/>
      <c r="E23" s="2"/>
      <c r="F23" s="153">
        <f>H61</f>
        <v>21.25</v>
      </c>
      <c r="G23" s="2"/>
      <c r="H23" s="2"/>
    </row>
    <row r="24" spans="2:8" ht="15.95" customHeight="1">
      <c r="B24" s="15" t="s">
        <v>743</v>
      </c>
      <c r="C24" s="2">
        <f>D70</f>
        <v>1.8030016806722688</v>
      </c>
      <c r="D24" s="13">
        <f>Inputs!D29</f>
        <v>4</v>
      </c>
      <c r="E24" s="2"/>
      <c r="F24" s="153">
        <f>C24*D24</f>
        <v>7.2120067226890754</v>
      </c>
      <c r="G24" s="2"/>
      <c r="H24" s="2"/>
    </row>
    <row r="25" spans="2:8" ht="15.95" customHeight="1">
      <c r="B25" s="15" t="s">
        <v>41</v>
      </c>
      <c r="D25" s="13"/>
      <c r="E25" s="2"/>
      <c r="F25" s="153">
        <f>E70-F24-(H53*C70)</f>
        <v>14.474267937152518</v>
      </c>
      <c r="G25" s="2"/>
      <c r="H25" s="2"/>
    </row>
    <row r="26" spans="2:8" ht="15.95" customHeight="1">
      <c r="B26" s="15" t="s">
        <v>42</v>
      </c>
      <c r="C26" s="2">
        <f>C70+Inputs!I23</f>
        <v>1.3090168067226891</v>
      </c>
      <c r="D26" s="13">
        <f>Inputs!D28</f>
        <v>17.309999999999999</v>
      </c>
      <c r="E26" s="2"/>
      <c r="F26" s="153">
        <f>D26*C26</f>
        <v>22.659080924369746</v>
      </c>
      <c r="G26" s="2"/>
      <c r="H26" s="2"/>
    </row>
    <row r="27" spans="2:8" ht="15.95" customHeight="1">
      <c r="B27" s="15" t="s">
        <v>43</v>
      </c>
      <c r="C27" s="2"/>
      <c r="D27" s="13"/>
      <c r="E27" s="2"/>
      <c r="F27" s="180">
        <v>0</v>
      </c>
      <c r="G27" s="2"/>
      <c r="H27" s="2"/>
    </row>
    <row r="28" spans="2:8" ht="15.95" customHeight="1">
      <c r="B28" s="15" t="s">
        <v>24</v>
      </c>
      <c r="C28" s="2">
        <f>SUM(F12:F27)/2</f>
        <v>110.36267779210567</v>
      </c>
      <c r="D28" s="205">
        <f>Inputs!D24</f>
        <v>0.09</v>
      </c>
      <c r="F28" s="155">
        <f>D28*C28</f>
        <v>9.9326410012895092</v>
      </c>
      <c r="G28" s="2"/>
      <c r="H28" s="2"/>
    </row>
    <row r="29" spans="2:8" ht="15.95" customHeight="1">
      <c r="B29" s="43" t="s">
        <v>471</v>
      </c>
      <c r="C29" s="2"/>
      <c r="D29" s="13"/>
      <c r="E29" s="2"/>
      <c r="F29" s="152">
        <f>SUM(F12:F28)</f>
        <v>230.65799658550085</v>
      </c>
      <c r="G29" s="2"/>
      <c r="H29" s="2"/>
    </row>
    <row r="30" spans="2:8" ht="15.95" customHeight="1">
      <c r="B30" s="5"/>
      <c r="C30" s="2"/>
      <c r="D30" s="13"/>
      <c r="E30" s="2"/>
      <c r="F30" s="179"/>
      <c r="G30" s="2"/>
      <c r="H30" s="2"/>
    </row>
    <row r="31" spans="2:8" ht="15.95" customHeight="1">
      <c r="B31" s="52" t="s">
        <v>770</v>
      </c>
      <c r="C31" s="2"/>
      <c r="D31" s="13"/>
      <c r="E31" s="2"/>
      <c r="F31" s="153"/>
      <c r="G31" s="14"/>
      <c r="H31" s="14"/>
    </row>
    <row r="32" spans="2:8" ht="15.95" customHeight="1">
      <c r="B32" s="15" t="s">
        <v>28</v>
      </c>
      <c r="C32" s="4"/>
      <c r="D32" s="13"/>
      <c r="E32" s="2"/>
      <c r="F32" s="153">
        <f>Inputs!I37</f>
        <v>8.84</v>
      </c>
      <c r="G32" s="4"/>
      <c r="H32" s="4"/>
    </row>
    <row r="33" spans="2:8" ht="15.95" customHeight="1">
      <c r="B33" s="15" t="s">
        <v>749</v>
      </c>
      <c r="C33" s="2"/>
      <c r="D33" s="13"/>
      <c r="E33" s="2"/>
      <c r="F33" s="153">
        <f>F70</f>
        <v>35.193525142925033</v>
      </c>
      <c r="G33" s="2"/>
      <c r="H33" s="2"/>
    </row>
    <row r="34" spans="2:8" ht="15.95" customHeight="1">
      <c r="B34" s="15" t="s">
        <v>44</v>
      </c>
      <c r="C34" s="2"/>
      <c r="D34" s="13"/>
      <c r="E34" s="2"/>
      <c r="F34" s="155">
        <f>Inputs!I38</f>
        <v>39.042845117845125</v>
      </c>
      <c r="G34" s="2"/>
      <c r="H34" s="2"/>
    </row>
    <row r="35" spans="2:8" ht="15.95" customHeight="1">
      <c r="B35" s="43" t="s">
        <v>472</v>
      </c>
      <c r="C35" s="2"/>
      <c r="D35" s="13"/>
      <c r="E35" s="2"/>
      <c r="F35" s="152">
        <f>SUM(F32:F34)</f>
        <v>83.076370260770148</v>
      </c>
      <c r="G35" s="2"/>
      <c r="H35" s="2"/>
    </row>
    <row r="36" spans="2:8" ht="15.95" customHeight="1">
      <c r="B36" s="5"/>
      <c r="C36" s="2"/>
      <c r="D36" s="13"/>
      <c r="E36" s="2"/>
      <c r="F36" s="153"/>
      <c r="G36" s="2"/>
      <c r="H36" s="2"/>
    </row>
    <row r="37" spans="2:8" ht="15.95" customHeight="1">
      <c r="B37" s="48" t="s">
        <v>473</v>
      </c>
      <c r="C37" s="10"/>
      <c r="D37" s="19"/>
      <c r="E37" s="19"/>
      <c r="F37" s="154">
        <f>F29+F35</f>
        <v>313.73436684627097</v>
      </c>
      <c r="G37" s="2"/>
      <c r="H37" s="2"/>
    </row>
    <row r="38" spans="2:8" ht="15.95" customHeight="1">
      <c r="B38" s="5"/>
      <c r="C38" s="2"/>
      <c r="D38" s="13"/>
      <c r="E38" s="2"/>
      <c r="F38" s="153"/>
      <c r="G38" s="14"/>
      <c r="H38" s="14"/>
    </row>
    <row r="39" spans="2:8" ht="15.95" customHeight="1">
      <c r="B39" s="42" t="s">
        <v>768</v>
      </c>
      <c r="C39" s="2"/>
      <c r="D39" s="13"/>
      <c r="E39" s="2"/>
      <c r="F39" s="152">
        <f>F9-F29</f>
        <v>-194.65799658550085</v>
      </c>
      <c r="G39" s="2"/>
      <c r="H39" s="2"/>
    </row>
    <row r="40" spans="2:8" ht="15.95" customHeight="1">
      <c r="B40" s="42" t="s">
        <v>769</v>
      </c>
      <c r="C40" s="2"/>
      <c r="D40" s="13"/>
      <c r="E40" s="2"/>
      <c r="F40" s="152">
        <f>F9-F37</f>
        <v>-277.73436684627097</v>
      </c>
      <c r="G40" s="14"/>
      <c r="H40" s="14"/>
    </row>
    <row r="41" spans="2:8" ht="15.95" customHeight="1" thickBot="1">
      <c r="B41" s="20"/>
      <c r="C41" s="21"/>
      <c r="D41" s="255"/>
      <c r="E41" s="21"/>
      <c r="F41" s="272"/>
      <c r="G41" s="4"/>
      <c r="H41" s="2"/>
    </row>
    <row r="42" spans="2:8" ht="15.95" customHeight="1">
      <c r="B42" s="4"/>
      <c r="C42" s="2"/>
      <c r="D42" s="2"/>
      <c r="E42" s="2"/>
      <c r="F42" s="2"/>
      <c r="G42" s="2"/>
      <c r="H42" s="2"/>
    </row>
    <row r="43" spans="2:8">
      <c r="B43" s="273"/>
      <c r="C43" s="50"/>
      <c r="D43" s="50"/>
      <c r="E43" s="50"/>
      <c r="F43" s="50"/>
      <c r="G43" s="273"/>
      <c r="H43" s="273"/>
    </row>
    <row r="44" spans="2:8">
      <c r="B44" s="273"/>
      <c r="C44" s="50"/>
      <c r="D44" s="50"/>
      <c r="E44" s="50"/>
      <c r="F44" s="50"/>
      <c r="G44" s="50"/>
      <c r="H44" s="50"/>
    </row>
    <row r="45" spans="2:8">
      <c r="B45" s="27" t="s">
        <v>378</v>
      </c>
      <c r="C45" s="28" t="s">
        <v>779</v>
      </c>
      <c r="D45" s="166"/>
      <c r="E45" s="27" t="s">
        <v>386</v>
      </c>
      <c r="F45" s="27"/>
      <c r="G45" s="137"/>
      <c r="H45" s="28" t="s">
        <v>399</v>
      </c>
    </row>
    <row r="46" spans="2:8">
      <c r="B46" s="49" t="s">
        <v>412</v>
      </c>
      <c r="C46" s="49">
        <f>D7</f>
        <v>2</v>
      </c>
      <c r="D46" s="49"/>
      <c r="E46" s="49" t="s">
        <v>415</v>
      </c>
      <c r="F46" s="49"/>
      <c r="G46" s="49"/>
      <c r="H46" s="171">
        <f>E7</f>
        <v>18</v>
      </c>
    </row>
    <row r="47" spans="2:8">
      <c r="B47" s="49" t="s">
        <v>803</v>
      </c>
      <c r="C47" s="168">
        <f>C13</f>
        <v>10</v>
      </c>
      <c r="D47" s="49"/>
      <c r="E47" s="49" t="s">
        <v>801</v>
      </c>
      <c r="F47" s="49"/>
      <c r="G47" s="49"/>
      <c r="H47" s="171">
        <f>D13</f>
        <v>2</v>
      </c>
    </row>
    <row r="48" spans="2:8">
      <c r="B48" s="49" t="s">
        <v>413</v>
      </c>
      <c r="C48" s="168">
        <f>C14</f>
        <v>8</v>
      </c>
      <c r="D48" s="49"/>
      <c r="E48" s="49" t="s">
        <v>416</v>
      </c>
      <c r="F48" s="49"/>
      <c r="G48" s="49"/>
      <c r="H48" s="171">
        <f>D14</f>
        <v>3</v>
      </c>
    </row>
    <row r="49" spans="2:8">
      <c r="B49" s="49" t="s">
        <v>414</v>
      </c>
      <c r="C49" s="168">
        <f>C16</f>
        <v>30</v>
      </c>
      <c r="D49" s="49"/>
      <c r="E49" s="49" t="s">
        <v>410</v>
      </c>
      <c r="F49" s="49"/>
      <c r="G49" s="49"/>
      <c r="H49" s="171">
        <f>D16</f>
        <v>0.6</v>
      </c>
    </row>
    <row r="50" spans="2:8">
      <c r="B50" s="49" t="s">
        <v>804</v>
      </c>
      <c r="C50" s="168">
        <f>C17</f>
        <v>35</v>
      </c>
      <c r="D50" s="49"/>
      <c r="E50" s="49" t="s">
        <v>402</v>
      </c>
      <c r="F50" s="49"/>
      <c r="G50" s="49"/>
      <c r="H50" s="171">
        <f>D17</f>
        <v>0.62</v>
      </c>
    </row>
    <row r="51" spans="2:8">
      <c r="B51" s="49" t="s">
        <v>382</v>
      </c>
      <c r="C51" s="168">
        <f>C18</f>
        <v>45</v>
      </c>
      <c r="D51" s="49"/>
      <c r="E51" s="49" t="s">
        <v>390</v>
      </c>
      <c r="F51" s="49"/>
      <c r="G51" s="49"/>
      <c r="H51" s="171">
        <f>D18</f>
        <v>0.41</v>
      </c>
    </row>
    <row r="52" spans="2:8">
      <c r="B52" s="49" t="s">
        <v>383</v>
      </c>
      <c r="C52" s="168">
        <f>C19</f>
        <v>1</v>
      </c>
      <c r="D52" s="49"/>
      <c r="E52" s="49" t="s">
        <v>391</v>
      </c>
      <c r="F52" s="49"/>
      <c r="G52" s="49"/>
      <c r="H52" s="171">
        <f>D19</f>
        <v>27.5</v>
      </c>
    </row>
    <row r="53" spans="2:8">
      <c r="B53" s="49" t="s">
        <v>384</v>
      </c>
      <c r="C53" s="169">
        <f>C26</f>
        <v>1.3090168067226891</v>
      </c>
      <c r="D53" s="49"/>
      <c r="E53" s="49" t="s">
        <v>802</v>
      </c>
      <c r="F53" s="49"/>
      <c r="G53" s="49"/>
      <c r="H53" s="173">
        <f>Inputs!D28</f>
        <v>17.309999999999999</v>
      </c>
    </row>
    <row r="54" spans="2:8">
      <c r="B54" s="49" t="s">
        <v>385</v>
      </c>
      <c r="C54" s="247">
        <f>D28</f>
        <v>0.09</v>
      </c>
      <c r="D54" s="49"/>
      <c r="E54" s="49" t="s">
        <v>392</v>
      </c>
      <c r="F54" s="49"/>
      <c r="G54" s="49"/>
      <c r="H54" s="173">
        <f>Inputs!D29</f>
        <v>4</v>
      </c>
    </row>
    <row r="55" spans="2:8">
      <c r="B55" s="49"/>
      <c r="C55" s="49"/>
      <c r="D55" s="49"/>
      <c r="E55" s="49"/>
      <c r="F55" s="49"/>
      <c r="G55" s="49"/>
      <c r="H55" s="173"/>
    </row>
    <row r="56" spans="2:8">
      <c r="B56" s="49"/>
      <c r="C56" s="49"/>
      <c r="D56" s="49"/>
      <c r="E56" s="49"/>
      <c r="F56" s="49"/>
      <c r="G56" s="49"/>
      <c r="H56" s="172"/>
    </row>
    <row r="57" spans="2:8">
      <c r="B57" s="49" t="s">
        <v>751</v>
      </c>
      <c r="C57" s="160" t="s">
        <v>756</v>
      </c>
      <c r="D57" s="49"/>
      <c r="E57" s="49"/>
      <c r="F57" s="49"/>
      <c r="G57" s="49"/>
      <c r="H57" s="49"/>
    </row>
    <row r="58" spans="2:8">
      <c r="B58" s="312" t="s">
        <v>480</v>
      </c>
      <c r="C58" s="312"/>
      <c r="D58" s="138" t="s">
        <v>698</v>
      </c>
      <c r="E58" s="174" t="s">
        <v>742</v>
      </c>
      <c r="F58" s="137" t="s">
        <v>753</v>
      </c>
      <c r="G58" s="137" t="s">
        <v>754</v>
      </c>
      <c r="H58" s="137" t="s">
        <v>755</v>
      </c>
    </row>
    <row r="59" spans="2:8">
      <c r="B59" s="316" t="str">
        <f>'Custom Hire'!B30</f>
        <v>Apply dry fertilizer on pasture, topdressing</v>
      </c>
      <c r="C59" s="316"/>
      <c r="D59" s="218">
        <f>'Custom Hire'!E30</f>
        <v>2</v>
      </c>
      <c r="E59" s="144">
        <f>'Custom Hire'!C30</f>
        <v>7.25</v>
      </c>
      <c r="F59" s="145" t="str">
        <f>'Custom Hire'!D30</f>
        <v>per acre</v>
      </c>
      <c r="G59" s="145"/>
      <c r="H59" s="146">
        <f>E59*MAX(D59,G59)</f>
        <v>14.5</v>
      </c>
    </row>
    <row r="60" spans="2:8">
      <c r="B60" s="315" t="str">
        <f>'Custom Hire'!B31</f>
        <v>Spray chemicals with pull-type sprayer</v>
      </c>
      <c r="C60" s="315"/>
      <c r="D60" s="220">
        <f>'Custom Hire'!E31</f>
        <v>1</v>
      </c>
      <c r="E60" s="147">
        <f>'Custom Hire'!C31</f>
        <v>6.75</v>
      </c>
      <c r="F60" s="137" t="str">
        <f>'Custom Hire'!D31</f>
        <v>per acre</v>
      </c>
      <c r="G60" s="137"/>
      <c r="H60" s="147">
        <f>E60*MAX(D60,G60)</f>
        <v>6.75</v>
      </c>
    </row>
    <row r="61" spans="2:8">
      <c r="B61" s="45" t="s">
        <v>468</v>
      </c>
      <c r="C61" s="139"/>
      <c r="D61" s="140"/>
      <c r="E61" s="139"/>
      <c r="F61" s="139"/>
      <c r="G61" s="139"/>
      <c r="H61" s="146">
        <f>SUM(H59:H60)</f>
        <v>21.25</v>
      </c>
    </row>
    <row r="62" spans="2:8">
      <c r="B62" s="49"/>
      <c r="C62" s="49"/>
      <c r="D62" s="49"/>
      <c r="E62" s="49"/>
      <c r="F62" s="49"/>
      <c r="G62" s="49"/>
      <c r="H62" s="49"/>
    </row>
    <row r="63" spans="2:8">
      <c r="B63" s="49" t="s">
        <v>772</v>
      </c>
      <c r="C63" s="160" t="s">
        <v>704</v>
      </c>
      <c r="D63" s="143"/>
      <c r="E63" s="30"/>
      <c r="F63" s="30"/>
      <c r="G63" s="30"/>
      <c r="H63" s="29"/>
    </row>
    <row r="64" spans="2:8">
      <c r="B64" s="25"/>
      <c r="C64" s="26" t="s">
        <v>394</v>
      </c>
      <c r="D64" s="26" t="s">
        <v>395</v>
      </c>
      <c r="E64" s="26" t="s">
        <v>422</v>
      </c>
      <c r="F64" s="26" t="s">
        <v>423</v>
      </c>
      <c r="G64" s="26"/>
      <c r="H64" s="26" t="s">
        <v>424</v>
      </c>
    </row>
    <row r="65" spans="1:8">
      <c r="B65" s="25"/>
      <c r="C65" s="26" t="s">
        <v>425</v>
      </c>
      <c r="D65" s="26" t="s">
        <v>426</v>
      </c>
      <c r="E65" s="26" t="s">
        <v>720</v>
      </c>
      <c r="F65" s="26" t="s">
        <v>433</v>
      </c>
      <c r="G65" s="26" t="s">
        <v>698</v>
      </c>
      <c r="H65" s="26" t="s">
        <v>427</v>
      </c>
    </row>
    <row r="66" spans="1:8">
      <c r="B66" s="27" t="s">
        <v>397</v>
      </c>
      <c r="C66" s="28" t="s">
        <v>398</v>
      </c>
      <c r="D66" s="28" t="s">
        <v>398</v>
      </c>
      <c r="E66" s="28" t="s">
        <v>428</v>
      </c>
      <c r="F66" s="28" t="s">
        <v>428</v>
      </c>
      <c r="G66" s="28" t="s">
        <v>398</v>
      </c>
      <c r="H66" s="28" t="s">
        <v>721</v>
      </c>
    </row>
    <row r="67" spans="1:8">
      <c r="B67" s="163" t="str">
        <f>CONCATENATE(Equipment!B49," - ",Equipment!C49)</f>
        <v>No-till drill, 15 Ft - 130 HP MFWD</v>
      </c>
      <c r="C67" s="26">
        <f>Equipment!E49</f>
        <v>0.17442857142857143</v>
      </c>
      <c r="D67" s="26">
        <f>Equipment!D49</f>
        <v>0.98874285714285715</v>
      </c>
      <c r="E67" s="26">
        <f>Equipment!F49</f>
        <v>11.72879401558389</v>
      </c>
      <c r="F67" s="26">
        <f>Equipment!G49</f>
        <v>20.364463222475301</v>
      </c>
      <c r="G67" s="132">
        <f>Equipment!H49</f>
        <v>1</v>
      </c>
      <c r="H67" s="26">
        <f>Equipment!I49</f>
        <v>32.093257238059195</v>
      </c>
    </row>
    <row r="68" spans="1:8">
      <c r="B68" s="163" t="str">
        <f>CONCATENATE(Equipment!B50," - ",Equipment!C50)</f>
        <v>Rotary Mower (brush hog), 15 Ft Folding - 130 HP MFWD</v>
      </c>
      <c r="C68" s="26">
        <f>Equipment!E50</f>
        <v>0.13458823529411768</v>
      </c>
      <c r="D68" s="26">
        <f>Equipment!D50</f>
        <v>0.81425882352941181</v>
      </c>
      <c r="E68" s="26">
        <f>Equipment!F50</f>
        <v>8.3065615686274512</v>
      </c>
      <c r="F68" s="26">
        <f>Equipment!G50</f>
        <v>7.8290619204497318</v>
      </c>
      <c r="G68" s="132">
        <f>Equipment!H50</f>
        <v>1</v>
      </c>
      <c r="H68" s="26">
        <f>Equipment!I50</f>
        <v>16.135623489077183</v>
      </c>
    </row>
    <row r="69" spans="1:8" ht="16.5" customHeight="1">
      <c r="B69" s="164" t="str">
        <f>Equipment!B52</f>
        <v>Pickup truck</v>
      </c>
      <c r="C69" s="28"/>
      <c r="D69" s="28"/>
      <c r="E69" s="28">
        <f>Equipment!F52</f>
        <v>7</v>
      </c>
      <c r="F69" s="28">
        <f>Equipment!G52</f>
        <v>7</v>
      </c>
      <c r="G69" s="133"/>
      <c r="H69" s="28">
        <f>Equipment!I52</f>
        <v>14</v>
      </c>
    </row>
    <row r="70" spans="1:8">
      <c r="B70" s="26" t="s">
        <v>468</v>
      </c>
      <c r="C70" s="26">
        <f>SUMPRODUCT(C67:C68,$G$67:$G$68)</f>
        <v>0.30901680672268911</v>
      </c>
      <c r="D70" s="26">
        <f t="shared" ref="D70" si="1">SUMPRODUCT(D67:D68,$G$67:$G$68)</f>
        <v>1.8030016806722688</v>
      </c>
      <c r="E70" s="26">
        <f>SUMPRODUCT(E67:E68,$G$67:$G$68)+E69</f>
        <v>27.035355584211342</v>
      </c>
      <c r="F70" s="26">
        <f>SUMPRODUCT(F67:F68,$G$67:$G$68)+F69</f>
        <v>35.193525142925033</v>
      </c>
      <c r="G70" s="132">
        <f>SUM(G67:G68)</f>
        <v>2</v>
      </c>
      <c r="H70" s="26">
        <f>SUM(H67:H69)</f>
        <v>62.228880727136378</v>
      </c>
    </row>
    <row r="71" spans="1:8">
      <c r="B71" s="49" t="s">
        <v>776</v>
      </c>
      <c r="C71" s="49"/>
      <c r="D71" s="49"/>
      <c r="E71" s="49"/>
      <c r="F71" s="49"/>
      <c r="G71" s="49"/>
      <c r="H71" s="139"/>
    </row>
    <row r="72" spans="1:8" s="22" customFormat="1">
      <c r="A72" s="1"/>
      <c r="B72" s="49" t="s">
        <v>777</v>
      </c>
      <c r="C72" s="49"/>
      <c r="D72" s="49"/>
      <c r="E72" s="49"/>
      <c r="F72" s="49"/>
      <c r="G72" s="49"/>
      <c r="H72" s="169">
        <f>H70+H61</f>
        <v>83.478880727136385</v>
      </c>
    </row>
    <row r="73" spans="1:8">
      <c r="A73" s="22"/>
      <c r="B73" s="49" t="s">
        <v>778</v>
      </c>
      <c r="C73" s="49"/>
      <c r="D73" s="49"/>
      <c r="E73" s="49"/>
      <c r="F73" s="49"/>
      <c r="G73" s="49"/>
      <c r="H73" s="49"/>
    </row>
    <row r="74" spans="1:8">
      <c r="B74" s="49"/>
      <c r="C74" s="49"/>
      <c r="D74" s="49"/>
      <c r="E74" s="49"/>
      <c r="F74" s="49"/>
      <c r="G74" s="49"/>
      <c r="H74" s="139"/>
    </row>
    <row r="75" spans="1:8">
      <c r="B75" s="49"/>
      <c r="C75" s="49"/>
      <c r="D75" s="49"/>
      <c r="E75" s="49"/>
      <c r="F75" s="49"/>
      <c r="G75" s="49"/>
      <c r="H75" s="49"/>
    </row>
    <row r="76" spans="1:8">
      <c r="B76" s="49" t="s">
        <v>725</v>
      </c>
      <c r="C76" s="49"/>
      <c r="D76" s="49"/>
      <c r="E76" s="49"/>
      <c r="F76" s="49"/>
      <c r="G76" s="49"/>
      <c r="H76" s="49"/>
    </row>
    <row r="77" spans="1:8">
      <c r="B77" s="49" t="s">
        <v>726</v>
      </c>
      <c r="C77" s="49"/>
      <c r="D77" s="49"/>
      <c r="E77" s="49"/>
      <c r="F77" s="49"/>
      <c r="G77" s="49"/>
      <c r="H77" s="49"/>
    </row>
    <row r="78" spans="1:8">
      <c r="B78" s="49" t="s">
        <v>727</v>
      </c>
      <c r="C78" s="49"/>
      <c r="D78" s="49"/>
      <c r="E78" s="49"/>
      <c r="F78" s="49"/>
      <c r="G78" s="49"/>
      <c r="H78" s="49"/>
    </row>
    <row r="79" spans="1:8">
      <c r="B79" s="49" t="s">
        <v>728</v>
      </c>
      <c r="C79" s="49"/>
      <c r="D79" s="49"/>
      <c r="E79" s="49"/>
      <c r="F79" s="49"/>
      <c r="G79" s="49"/>
      <c r="H79" s="49"/>
    </row>
    <row r="778" spans="2:3" hidden="1">
      <c r="B778" s="1" t="s">
        <v>48</v>
      </c>
    </row>
    <row r="779" spans="2:3" hidden="1">
      <c r="B779" s="1" t="s">
        <v>49</v>
      </c>
      <c r="C779" s="1">
        <v>6</v>
      </c>
    </row>
    <row r="780" spans="2:3" hidden="1">
      <c r="B780" s="1" t="s">
        <v>50</v>
      </c>
      <c r="C780" s="1">
        <v>1</v>
      </c>
    </row>
    <row r="781" spans="2:3" hidden="1">
      <c r="B781" s="1" t="s">
        <v>51</v>
      </c>
      <c r="C781" s="1">
        <v>1</v>
      </c>
    </row>
    <row r="782" spans="2:3" hidden="1">
      <c r="B782" s="1" t="s">
        <v>52</v>
      </c>
      <c r="C782" s="1">
        <v>2</v>
      </c>
    </row>
    <row r="783" spans="2:3" hidden="1">
      <c r="B783" s="1" t="s">
        <v>53</v>
      </c>
      <c r="C783" s="1">
        <v>1</v>
      </c>
    </row>
    <row r="784" spans="2:3" hidden="1">
      <c r="B784" s="1" t="s">
        <v>54</v>
      </c>
      <c r="C784" s="1">
        <v>0</v>
      </c>
    </row>
    <row r="785" spans="2:3" hidden="1">
      <c r="B785" s="1" t="s">
        <v>55</v>
      </c>
      <c r="C785" s="1">
        <v>0</v>
      </c>
    </row>
    <row r="786" spans="2:3" hidden="1">
      <c r="B786" s="1" t="s">
        <v>56</v>
      </c>
      <c r="C786" s="1">
        <v>0</v>
      </c>
    </row>
    <row r="787" spans="2:3" hidden="1">
      <c r="B787" s="1" t="s">
        <v>57</v>
      </c>
      <c r="C787" s="1">
        <v>0</v>
      </c>
    </row>
    <row r="788" spans="2:3" hidden="1">
      <c r="B788" s="1" t="s">
        <v>58</v>
      </c>
      <c r="C788" s="1">
        <v>0</v>
      </c>
    </row>
    <row r="789" spans="2:3" hidden="1">
      <c r="B789" s="1" t="s">
        <v>59</v>
      </c>
      <c r="C789" s="1">
        <v>0</v>
      </c>
    </row>
    <row r="790" spans="2:3" hidden="1">
      <c r="B790" s="1" t="s">
        <v>60</v>
      </c>
      <c r="C790" s="1" t="b">
        <v>1</v>
      </c>
    </row>
    <row r="791" spans="2:3" hidden="1">
      <c r="B791" s="1" t="s">
        <v>61</v>
      </c>
      <c r="C791" s="1">
        <v>0</v>
      </c>
    </row>
    <row r="792" spans="2:3" hidden="1">
      <c r="B792" s="1" t="s">
        <v>62</v>
      </c>
      <c r="C792" s="1" t="b">
        <v>1</v>
      </c>
    </row>
    <row r="793" spans="2:3" hidden="1">
      <c r="B793" s="1" t="s">
        <v>63</v>
      </c>
      <c r="C793" s="1">
        <v>0</v>
      </c>
    </row>
    <row r="794" spans="2:3" hidden="1">
      <c r="B794" s="1" t="s">
        <v>64</v>
      </c>
      <c r="C794" s="1">
        <v>0</v>
      </c>
    </row>
    <row r="795" spans="2:3" hidden="1">
      <c r="B795" s="1" t="s">
        <v>65</v>
      </c>
      <c r="C795" s="1">
        <v>0</v>
      </c>
    </row>
    <row r="796" spans="2:3" hidden="1">
      <c r="B796" s="1" t="s">
        <v>66</v>
      </c>
      <c r="C796" s="1">
        <v>0</v>
      </c>
    </row>
    <row r="797" spans="2:3" hidden="1">
      <c r="B797" s="1" t="s">
        <v>67</v>
      </c>
      <c r="C797" s="1">
        <v>0</v>
      </c>
    </row>
    <row r="798" spans="2:3" hidden="1">
      <c r="B798" s="1" t="s">
        <v>68</v>
      </c>
      <c r="C798" s="1">
        <v>0</v>
      </c>
    </row>
    <row r="799" spans="2:3" hidden="1">
      <c r="B799" s="1" t="s">
        <v>69</v>
      </c>
      <c r="C799" s="1">
        <v>0</v>
      </c>
    </row>
    <row r="800" spans="2:3" hidden="1">
      <c r="B800" s="1" t="s">
        <v>70</v>
      </c>
      <c r="C800" s="1" t="s">
        <v>71</v>
      </c>
    </row>
    <row r="801" spans="2:3" hidden="1">
      <c r="B801" s="1" t="s">
        <v>72</v>
      </c>
      <c r="C801" s="1">
        <v>100</v>
      </c>
    </row>
    <row r="802" spans="2:3" hidden="1">
      <c r="B802" s="1" t="s">
        <v>73</v>
      </c>
      <c r="C802" s="1">
        <v>55</v>
      </c>
    </row>
    <row r="803" spans="2:3" hidden="1">
      <c r="B803" s="1" t="s">
        <v>74</v>
      </c>
      <c r="C803" s="1">
        <v>5.3</v>
      </c>
    </row>
    <row r="804" spans="2:3" hidden="1">
      <c r="B804" s="1" t="s">
        <v>75</v>
      </c>
      <c r="C804" s="1">
        <v>0</v>
      </c>
    </row>
    <row r="805" spans="2:3" hidden="1">
      <c r="B805" s="1" t="s">
        <v>76</v>
      </c>
      <c r="C805" s="1">
        <v>0</v>
      </c>
    </row>
    <row r="806" spans="2:3" hidden="1">
      <c r="B806" s="1" t="s">
        <v>77</v>
      </c>
      <c r="C806" s="1">
        <v>0</v>
      </c>
    </row>
    <row r="807" spans="2:3" hidden="1">
      <c r="B807" s="1" t="s">
        <v>78</v>
      </c>
      <c r="C807" s="1">
        <v>0</v>
      </c>
    </row>
    <row r="808" spans="2:3" hidden="1">
      <c r="B808" s="1" t="s">
        <v>79</v>
      </c>
      <c r="C808" s="1">
        <v>0</v>
      </c>
    </row>
    <row r="809" spans="2:3" hidden="1">
      <c r="B809" s="1" t="s">
        <v>80</v>
      </c>
      <c r="C809" s="1">
        <v>0</v>
      </c>
    </row>
    <row r="810" spans="2:3" hidden="1">
      <c r="B810" s="1" t="s">
        <v>81</v>
      </c>
      <c r="C810" s="1">
        <v>0</v>
      </c>
    </row>
    <row r="811" spans="2:3" hidden="1">
      <c r="B811" s="1" t="s">
        <v>82</v>
      </c>
      <c r="C811" s="1">
        <v>18</v>
      </c>
    </row>
    <row r="812" spans="2:3" hidden="1">
      <c r="B812" s="1" t="s">
        <v>83</v>
      </c>
      <c r="C812" s="1">
        <v>0</v>
      </c>
    </row>
    <row r="813" spans="2:3" hidden="1">
      <c r="B813" s="1" t="s">
        <v>84</v>
      </c>
      <c r="C813" s="1">
        <v>0</v>
      </c>
    </row>
    <row r="814" spans="2:3" hidden="1">
      <c r="B814" s="1" t="s">
        <v>85</v>
      </c>
      <c r="C814" s="1">
        <v>0</v>
      </c>
    </row>
    <row r="815" spans="2:3" hidden="1">
      <c r="B815" s="1" t="s">
        <v>86</v>
      </c>
      <c r="C815" s="1">
        <v>0</v>
      </c>
    </row>
    <row r="816" spans="2:3" hidden="1">
      <c r="B816" s="1" t="s">
        <v>87</v>
      </c>
      <c r="C816" s="1">
        <v>0</v>
      </c>
    </row>
    <row r="817" spans="2:3" hidden="1">
      <c r="B817" s="1" t="s">
        <v>88</v>
      </c>
      <c r="C817" s="1">
        <v>100</v>
      </c>
    </row>
    <row r="818" spans="2:3" hidden="1">
      <c r="B818" s="1" t="s">
        <v>89</v>
      </c>
      <c r="C818" s="1">
        <v>0</v>
      </c>
    </row>
    <row r="819" spans="2:3" hidden="1">
      <c r="B819" s="1" t="s">
        <v>90</v>
      </c>
      <c r="C819" s="1">
        <v>0</v>
      </c>
    </row>
    <row r="820" spans="2:3" hidden="1">
      <c r="B820" s="1" t="s">
        <v>91</v>
      </c>
      <c r="C820" s="1">
        <v>0</v>
      </c>
    </row>
    <row r="821" spans="2:3" hidden="1">
      <c r="B821" s="1" t="s">
        <v>92</v>
      </c>
      <c r="C821" s="1">
        <v>75</v>
      </c>
    </row>
    <row r="822" spans="2:3" hidden="1">
      <c r="B822" s="1" t="s">
        <v>93</v>
      </c>
      <c r="C822" s="1">
        <v>0</v>
      </c>
    </row>
    <row r="823" spans="2:3" hidden="1">
      <c r="B823" s="1" t="s">
        <v>94</v>
      </c>
      <c r="C823" s="1">
        <v>35</v>
      </c>
    </row>
    <row r="824" spans="2:3" hidden="1">
      <c r="B824" s="1" t="s">
        <v>95</v>
      </c>
      <c r="C824" s="1">
        <v>20</v>
      </c>
    </row>
    <row r="825" spans="2:3" hidden="1">
      <c r="B825" s="1" t="s">
        <v>96</v>
      </c>
      <c r="C825" s="1">
        <v>0.5</v>
      </c>
    </row>
    <row r="826" spans="2:3" hidden="1">
      <c r="B826" s="1" t="s">
        <v>97</v>
      </c>
      <c r="C826" s="1">
        <v>10</v>
      </c>
    </row>
    <row r="827" spans="2:3" hidden="1">
      <c r="B827" s="1" t="s">
        <v>98</v>
      </c>
      <c r="C827" s="1">
        <v>0</v>
      </c>
    </row>
    <row r="828" spans="2:3" hidden="1">
      <c r="B828" s="1" t="s">
        <v>99</v>
      </c>
      <c r="C828" s="1">
        <v>0</v>
      </c>
    </row>
    <row r="829" spans="2:3" hidden="1">
      <c r="B829" s="1" t="s">
        <v>100</v>
      </c>
      <c r="C829" s="1">
        <v>0.53</v>
      </c>
    </row>
    <row r="830" spans="2:3" hidden="1">
      <c r="B830" s="1" t="s">
        <v>101</v>
      </c>
      <c r="C830" s="1">
        <v>0</v>
      </c>
    </row>
    <row r="831" spans="2:3" hidden="1">
      <c r="B831" s="1" t="s">
        <v>102</v>
      </c>
      <c r="C831" s="1">
        <v>0.49</v>
      </c>
    </row>
    <row r="832" spans="2:3" hidden="1">
      <c r="B832" s="1" t="s">
        <v>103</v>
      </c>
      <c r="C832" s="1">
        <v>0.4</v>
      </c>
    </row>
    <row r="833" spans="2:3" hidden="1">
      <c r="B833" s="1" t="s">
        <v>104</v>
      </c>
      <c r="C833" s="1">
        <v>15</v>
      </c>
    </row>
    <row r="834" spans="2:3" hidden="1">
      <c r="B834" s="1" t="s">
        <v>105</v>
      </c>
      <c r="C834" s="1">
        <v>0.55000000000000004</v>
      </c>
    </row>
    <row r="835" spans="2:3" hidden="1">
      <c r="B835" s="1" t="s">
        <v>106</v>
      </c>
      <c r="C835" s="1">
        <v>0</v>
      </c>
    </row>
    <row r="836" spans="2:3" hidden="1">
      <c r="B836" s="1" t="s">
        <v>107</v>
      </c>
      <c r="C836" s="1">
        <v>0</v>
      </c>
    </row>
    <row r="837" spans="2:3" hidden="1">
      <c r="B837" s="1" t="s">
        <v>108</v>
      </c>
      <c r="C837" s="1">
        <v>0</v>
      </c>
    </row>
    <row r="838" spans="2:3" hidden="1">
      <c r="B838" s="1" t="s">
        <v>109</v>
      </c>
      <c r="C838" s="1">
        <v>0</v>
      </c>
    </row>
    <row r="839" spans="2:3" hidden="1">
      <c r="B839" s="1" t="s">
        <v>110</v>
      </c>
      <c r="C839" s="1">
        <v>1</v>
      </c>
    </row>
    <row r="840" spans="2:3" hidden="1">
      <c r="B840" s="1" t="s">
        <v>111</v>
      </c>
      <c r="C840" s="1">
        <v>0</v>
      </c>
    </row>
    <row r="841" spans="2:3" hidden="1">
      <c r="B841" s="1" t="s">
        <v>112</v>
      </c>
      <c r="C841" s="1">
        <v>0</v>
      </c>
    </row>
    <row r="842" spans="2:3" hidden="1">
      <c r="B842" s="1" t="s">
        <v>113</v>
      </c>
      <c r="C842" s="1">
        <v>0</v>
      </c>
    </row>
    <row r="843" spans="2:3" hidden="1">
      <c r="B843" s="1" t="s">
        <v>114</v>
      </c>
      <c r="C843" s="1">
        <v>0</v>
      </c>
    </row>
    <row r="844" spans="2:3" hidden="1">
      <c r="B844" s="1" t="s">
        <v>115</v>
      </c>
      <c r="C844" s="1">
        <v>0</v>
      </c>
    </row>
    <row r="845" spans="2:3" hidden="1">
      <c r="B845" s="1" t="s">
        <v>116</v>
      </c>
      <c r="C845" s="1">
        <v>0</v>
      </c>
    </row>
    <row r="846" spans="2:3" hidden="1">
      <c r="B846" s="1" t="s">
        <v>117</v>
      </c>
      <c r="C846" s="1">
        <v>0</v>
      </c>
    </row>
    <row r="847" spans="2:3" hidden="1">
      <c r="B847" s="1" t="s">
        <v>118</v>
      </c>
      <c r="C847" s="1">
        <v>19.38</v>
      </c>
    </row>
    <row r="848" spans="2:3" hidden="1">
      <c r="B848" s="1" t="s">
        <v>119</v>
      </c>
      <c r="C848" s="1">
        <v>0</v>
      </c>
    </row>
    <row r="849" spans="2:3" hidden="1">
      <c r="B849" s="1" t="s">
        <v>120</v>
      </c>
      <c r="C849" s="1">
        <v>0</v>
      </c>
    </row>
    <row r="850" spans="2:3" hidden="1">
      <c r="B850" s="1" t="s">
        <v>121</v>
      </c>
      <c r="C850" s="1">
        <v>0</v>
      </c>
    </row>
    <row r="851" spans="2:3" hidden="1">
      <c r="B851" s="1" t="s">
        <v>122</v>
      </c>
      <c r="C851" s="1">
        <v>0</v>
      </c>
    </row>
    <row r="852" spans="2:3" hidden="1">
      <c r="B852" s="1" t="s">
        <v>123</v>
      </c>
      <c r="C852" s="1">
        <v>0</v>
      </c>
    </row>
    <row r="853" spans="2:3" hidden="1">
      <c r="B853" s="1" t="s">
        <v>124</v>
      </c>
      <c r="C853" s="1">
        <v>0</v>
      </c>
    </row>
    <row r="854" spans="2:3" hidden="1">
      <c r="B854" s="1" t="s">
        <v>125</v>
      </c>
      <c r="C854" s="1">
        <v>0</v>
      </c>
    </row>
    <row r="855" spans="2:3" hidden="1">
      <c r="B855" s="1" t="s">
        <v>126</v>
      </c>
      <c r="C855" s="1">
        <v>0</v>
      </c>
    </row>
    <row r="856" spans="2:3" hidden="1">
      <c r="B856" s="1" t="s">
        <v>127</v>
      </c>
      <c r="C856" s="1">
        <v>0</v>
      </c>
    </row>
    <row r="857" spans="2:3" hidden="1">
      <c r="B857" s="1" t="s">
        <v>128</v>
      </c>
      <c r="C857" s="1">
        <v>0</v>
      </c>
    </row>
    <row r="858" spans="2:3" hidden="1">
      <c r="B858" s="1" t="s">
        <v>129</v>
      </c>
      <c r="C858" s="1">
        <v>0</v>
      </c>
    </row>
    <row r="859" spans="2:3" hidden="1">
      <c r="B859" s="1" t="s">
        <v>130</v>
      </c>
      <c r="C859" s="1">
        <v>0</v>
      </c>
    </row>
    <row r="860" spans="2:3" hidden="1">
      <c r="B860" s="1" t="s">
        <v>131</v>
      </c>
      <c r="C860" s="1">
        <v>0</v>
      </c>
    </row>
    <row r="861" spans="2:3" hidden="1">
      <c r="B861" s="1" t="s">
        <v>132</v>
      </c>
      <c r="C861" s="1">
        <v>0</v>
      </c>
    </row>
    <row r="862" spans="2:3" hidden="1">
      <c r="B862" s="1" t="s">
        <v>133</v>
      </c>
      <c r="C862" s="1">
        <v>0.5</v>
      </c>
    </row>
    <row r="863" spans="2:3" hidden="1">
      <c r="B863" s="1" t="s">
        <v>134</v>
      </c>
      <c r="C863" s="1">
        <v>13.5</v>
      </c>
    </row>
    <row r="864" spans="2:3" hidden="1">
      <c r="B864" s="1" t="s">
        <v>135</v>
      </c>
      <c r="C864" s="1">
        <v>18</v>
      </c>
    </row>
    <row r="865" spans="2:3" hidden="1">
      <c r="B865" s="1" t="s">
        <v>136</v>
      </c>
      <c r="C865" s="1">
        <v>0</v>
      </c>
    </row>
    <row r="866" spans="2:3" hidden="1">
      <c r="B866" s="1" t="s">
        <v>137</v>
      </c>
      <c r="C866" s="1">
        <v>0</v>
      </c>
    </row>
    <row r="867" spans="2:3" hidden="1">
      <c r="B867" s="1" t="s">
        <v>138</v>
      </c>
      <c r="C867" s="1">
        <v>0</v>
      </c>
    </row>
    <row r="868" spans="2:3" hidden="1">
      <c r="B868" s="1" t="s">
        <v>139</v>
      </c>
      <c r="C868" s="1">
        <v>3500</v>
      </c>
    </row>
    <row r="869" spans="2:3" hidden="1">
      <c r="B869" s="1" t="s">
        <v>140</v>
      </c>
      <c r="C869" s="1">
        <v>4</v>
      </c>
    </row>
    <row r="870" spans="2:3" hidden="1">
      <c r="B870" s="1" t="s">
        <v>141</v>
      </c>
      <c r="C870" s="1">
        <v>0</v>
      </c>
    </row>
    <row r="871" spans="2:3" hidden="1">
      <c r="B871" s="1" t="s">
        <v>142</v>
      </c>
      <c r="C871" s="1">
        <v>0</v>
      </c>
    </row>
    <row r="872" spans="2:3" hidden="1">
      <c r="B872" s="1" t="s">
        <v>143</v>
      </c>
      <c r="C872" s="1">
        <v>0</v>
      </c>
    </row>
    <row r="873" spans="2:3" hidden="1">
      <c r="B873" s="1" t="s">
        <v>144</v>
      </c>
      <c r="C873" s="1">
        <v>6</v>
      </c>
    </row>
    <row r="874" spans="2:3" hidden="1">
      <c r="B874" s="1" t="s">
        <v>145</v>
      </c>
      <c r="C874" s="1">
        <v>3.65</v>
      </c>
    </row>
    <row r="875" spans="2:3" hidden="1">
      <c r="B875" s="1" t="s">
        <v>146</v>
      </c>
      <c r="C875" s="1">
        <v>3.38</v>
      </c>
    </row>
    <row r="876" spans="2:3" hidden="1">
      <c r="B876" s="1" t="s">
        <v>147</v>
      </c>
      <c r="C876" s="1">
        <v>1</v>
      </c>
    </row>
    <row r="877" spans="2:3" hidden="1">
      <c r="B877" s="1" t="s">
        <v>148</v>
      </c>
      <c r="C877" s="1">
        <v>0</v>
      </c>
    </row>
    <row r="878" spans="2:3" hidden="1">
      <c r="B878" s="1" t="s">
        <v>149</v>
      </c>
      <c r="C878" s="1">
        <v>13</v>
      </c>
    </row>
    <row r="879" spans="2:3" hidden="1">
      <c r="B879" s="1" t="s">
        <v>150</v>
      </c>
      <c r="C879" s="1">
        <v>0</v>
      </c>
    </row>
    <row r="880" spans="2:3" hidden="1">
      <c r="B880" s="1" t="s">
        <v>151</v>
      </c>
      <c r="C880" s="1">
        <v>0</v>
      </c>
    </row>
    <row r="881" spans="2:3" hidden="1">
      <c r="B881" s="1" t="s">
        <v>152</v>
      </c>
      <c r="C881" s="1">
        <v>0</v>
      </c>
    </row>
    <row r="882" spans="2:3" hidden="1">
      <c r="B882" s="1" t="s">
        <v>153</v>
      </c>
      <c r="C882" s="1">
        <v>0</v>
      </c>
    </row>
    <row r="883" spans="2:3" hidden="1">
      <c r="B883" s="1" t="s">
        <v>154</v>
      </c>
      <c r="C883" s="1">
        <v>0</v>
      </c>
    </row>
    <row r="884" spans="2:3" hidden="1">
      <c r="B884" s="1" t="s">
        <v>155</v>
      </c>
      <c r="C884" s="1">
        <v>0</v>
      </c>
    </row>
    <row r="885" spans="2:3" hidden="1">
      <c r="B885" s="1" t="s">
        <v>156</v>
      </c>
      <c r="C885" s="1">
        <v>5</v>
      </c>
    </row>
    <row r="886" spans="2:3" hidden="1">
      <c r="B886" s="1" t="s">
        <v>157</v>
      </c>
      <c r="C886" s="1">
        <v>0</v>
      </c>
    </row>
    <row r="887" spans="2:3" hidden="1">
      <c r="B887" s="1" t="s">
        <v>158</v>
      </c>
      <c r="C887" s="1">
        <v>0</v>
      </c>
    </row>
    <row r="888" spans="2:3" hidden="1">
      <c r="B888" s="1" t="s">
        <v>159</v>
      </c>
      <c r="C888" s="1">
        <v>0</v>
      </c>
    </row>
    <row r="889" spans="2:3" hidden="1">
      <c r="B889" s="1" t="s">
        <v>160</v>
      </c>
      <c r="C889" s="1">
        <v>6800</v>
      </c>
    </row>
    <row r="890" spans="2:3" hidden="1">
      <c r="B890" s="1" t="s">
        <v>161</v>
      </c>
      <c r="C890" s="1">
        <v>0</v>
      </c>
    </row>
    <row r="891" spans="2:3" hidden="1">
      <c r="B891" s="1" t="s">
        <v>162</v>
      </c>
      <c r="C891" s="1">
        <v>0</v>
      </c>
    </row>
    <row r="892" spans="2:3" hidden="1">
      <c r="B892" s="1" t="s">
        <v>163</v>
      </c>
      <c r="C892" s="1">
        <v>8500</v>
      </c>
    </row>
    <row r="893" spans="2:3" hidden="1">
      <c r="B893" s="1" t="s">
        <v>164</v>
      </c>
      <c r="C893" s="1">
        <v>5</v>
      </c>
    </row>
    <row r="894" spans="2:3" hidden="1">
      <c r="B894" s="1" t="s">
        <v>165</v>
      </c>
      <c r="C894" s="1">
        <v>15000</v>
      </c>
    </row>
    <row r="895" spans="2:3" hidden="1">
      <c r="B895" s="1" t="s">
        <v>166</v>
      </c>
      <c r="C895" s="1">
        <v>5</v>
      </c>
    </row>
    <row r="896" spans="2:3" hidden="1">
      <c r="B896" s="1" t="s">
        <v>167</v>
      </c>
      <c r="C896" s="1">
        <v>0</v>
      </c>
    </row>
    <row r="897" spans="2:3" hidden="1">
      <c r="B897" s="1" t="s">
        <v>168</v>
      </c>
      <c r="C897" s="1">
        <v>0</v>
      </c>
    </row>
    <row r="898" spans="2:3" hidden="1">
      <c r="B898" s="1" t="s">
        <v>169</v>
      </c>
      <c r="C898" s="1">
        <v>0</v>
      </c>
    </row>
    <row r="899" spans="2:3" hidden="1">
      <c r="B899" s="1" t="s">
        <v>170</v>
      </c>
      <c r="C899" s="1">
        <v>0</v>
      </c>
    </row>
    <row r="900" spans="2:3" hidden="1">
      <c r="B900" s="1" t="s">
        <v>171</v>
      </c>
      <c r="C900" s="1">
        <v>0</v>
      </c>
    </row>
    <row r="901" spans="2:3" hidden="1">
      <c r="B901" s="1" t="s">
        <v>172</v>
      </c>
      <c r="C901" s="1">
        <v>0</v>
      </c>
    </row>
    <row r="902" spans="2:3" hidden="1">
      <c r="B902" s="1" t="s">
        <v>173</v>
      </c>
      <c r="C902" s="1">
        <v>0</v>
      </c>
    </row>
    <row r="903" spans="2:3" hidden="1">
      <c r="B903" s="1" t="s">
        <v>174</v>
      </c>
      <c r="C903" s="1">
        <v>0</v>
      </c>
    </row>
    <row r="904" spans="2:3" hidden="1">
      <c r="B904" s="1" t="s">
        <v>175</v>
      </c>
      <c r="C904" s="1">
        <v>0</v>
      </c>
    </row>
    <row r="905" spans="2:3" hidden="1">
      <c r="B905" s="1" t="s">
        <v>176</v>
      </c>
      <c r="C905" s="1">
        <v>0</v>
      </c>
    </row>
    <row r="906" spans="2:3" hidden="1">
      <c r="B906" s="1" t="s">
        <v>177</v>
      </c>
      <c r="C906" s="1">
        <v>0</v>
      </c>
    </row>
    <row r="907" spans="2:3" hidden="1">
      <c r="B907" s="1" t="s">
        <v>178</v>
      </c>
      <c r="C907" s="1">
        <v>6</v>
      </c>
    </row>
    <row r="908" spans="2:3" hidden="1">
      <c r="B908" s="1" t="s">
        <v>179</v>
      </c>
      <c r="C908" s="1">
        <v>0</v>
      </c>
    </row>
    <row r="909" spans="2:3" hidden="1">
      <c r="B909" s="1" t="s">
        <v>180</v>
      </c>
      <c r="C909" s="1">
        <v>0</v>
      </c>
    </row>
    <row r="910" spans="2:3" hidden="1">
      <c r="B910" s="1" t="s">
        <v>181</v>
      </c>
      <c r="C910" s="1">
        <v>0</v>
      </c>
    </row>
    <row r="911" spans="2:3" hidden="1">
      <c r="B911" s="1" t="s">
        <v>182</v>
      </c>
      <c r="C911" s="1">
        <v>0</v>
      </c>
    </row>
    <row r="912" spans="2:3" hidden="1">
      <c r="B912" s="1" t="s">
        <v>183</v>
      </c>
      <c r="C912" s="1">
        <v>0</v>
      </c>
    </row>
    <row r="913" spans="2:3" hidden="1">
      <c r="B913" s="1" t="s">
        <v>184</v>
      </c>
      <c r="C913" s="1">
        <v>0</v>
      </c>
    </row>
    <row r="914" spans="2:3" hidden="1">
      <c r="B914" s="1" t="s">
        <v>185</v>
      </c>
      <c r="C914" s="1">
        <v>0</v>
      </c>
    </row>
    <row r="915" spans="2:3" hidden="1">
      <c r="B915" s="1" t="s">
        <v>186</v>
      </c>
      <c r="C915" s="1">
        <v>0</v>
      </c>
    </row>
    <row r="916" spans="2:3" hidden="1">
      <c r="B916" s="1" t="s">
        <v>187</v>
      </c>
      <c r="C916" s="1">
        <v>0</v>
      </c>
    </row>
    <row r="917" spans="2:3" hidden="1">
      <c r="B917" s="1" t="s">
        <v>188</v>
      </c>
      <c r="C917" s="1">
        <v>0</v>
      </c>
    </row>
    <row r="918" spans="2:3" hidden="1">
      <c r="B918" s="1" t="s">
        <v>189</v>
      </c>
      <c r="C918" s="1">
        <v>0</v>
      </c>
    </row>
    <row r="919" spans="2:3" hidden="1">
      <c r="B919" s="1" t="s">
        <v>190</v>
      </c>
      <c r="C919" s="1">
        <v>0</v>
      </c>
    </row>
    <row r="920" spans="2:3" hidden="1">
      <c r="B920" s="1" t="s">
        <v>191</v>
      </c>
      <c r="C920" s="1">
        <v>2</v>
      </c>
    </row>
    <row r="921" spans="2:3" hidden="1">
      <c r="B921" s="1" t="s">
        <v>192</v>
      </c>
      <c r="C921" s="1">
        <v>0</v>
      </c>
    </row>
    <row r="922" spans="2:3" hidden="1">
      <c r="B922" s="1" t="s">
        <v>193</v>
      </c>
      <c r="C922" s="1">
        <v>0</v>
      </c>
    </row>
    <row r="923" spans="2:3" hidden="1">
      <c r="B923" s="1" t="s">
        <v>194</v>
      </c>
      <c r="C923" s="1">
        <v>0</v>
      </c>
    </row>
    <row r="924" spans="2:3" hidden="1">
      <c r="B924" s="1" t="s">
        <v>195</v>
      </c>
      <c r="C924" s="1">
        <v>0</v>
      </c>
    </row>
    <row r="925" spans="2:3" hidden="1">
      <c r="B925" s="1" t="s">
        <v>196</v>
      </c>
      <c r="C925" s="1">
        <v>0</v>
      </c>
    </row>
    <row r="926" spans="2:3" hidden="1">
      <c r="B926" s="1" t="s">
        <v>197</v>
      </c>
      <c r="C926" s="1">
        <v>0</v>
      </c>
    </row>
    <row r="927" spans="2:3" hidden="1">
      <c r="B927" s="1" t="s">
        <v>198</v>
      </c>
      <c r="C927" s="1">
        <v>0</v>
      </c>
    </row>
    <row r="928" spans="2:3" hidden="1">
      <c r="B928" s="1" t="s">
        <v>199</v>
      </c>
      <c r="C928" s="1" t="s">
        <v>200</v>
      </c>
    </row>
    <row r="929" spans="2:3" hidden="1">
      <c r="B929" s="1" t="s">
        <v>201</v>
      </c>
      <c r="C929" s="1" t="s">
        <v>202</v>
      </c>
    </row>
    <row r="930" spans="2:3" hidden="1">
      <c r="B930" s="1" t="s">
        <v>203</v>
      </c>
      <c r="C930" s="1" t="s">
        <v>204</v>
      </c>
    </row>
    <row r="931" spans="2:3" hidden="1">
      <c r="B931" s="1" t="s">
        <v>205</v>
      </c>
      <c r="C931" s="1" t="s">
        <v>206</v>
      </c>
    </row>
    <row r="932" spans="2:3" hidden="1">
      <c r="B932" s="1" t="s">
        <v>207</v>
      </c>
      <c r="C932" s="1" t="s">
        <v>208</v>
      </c>
    </row>
    <row r="933" spans="2:3" hidden="1">
      <c r="B933" s="1" t="s">
        <v>209</v>
      </c>
      <c r="C933" s="1" t="s">
        <v>210</v>
      </c>
    </row>
    <row r="934" spans="2:3" hidden="1">
      <c r="B934" s="1" t="s">
        <v>211</v>
      </c>
      <c r="C934" s="1" t="s">
        <v>212</v>
      </c>
    </row>
    <row r="935" spans="2:3" hidden="1">
      <c r="B935" s="1" t="s">
        <v>213</v>
      </c>
      <c r="C935" s="1" t="s">
        <v>214</v>
      </c>
    </row>
    <row r="936" spans="2:3" hidden="1">
      <c r="B936" s="1" t="s">
        <v>215</v>
      </c>
      <c r="C936" s="1" t="s">
        <v>216</v>
      </c>
    </row>
    <row r="937" spans="2:3" hidden="1">
      <c r="B937" s="1" t="s">
        <v>217</v>
      </c>
      <c r="C937" s="1" t="s">
        <v>218</v>
      </c>
    </row>
    <row r="938" spans="2:3" hidden="1">
      <c r="B938" s="1" t="s">
        <v>219</v>
      </c>
      <c r="C938" s="1" t="s">
        <v>220</v>
      </c>
    </row>
    <row r="939" spans="2:3" hidden="1">
      <c r="B939" s="1" t="s">
        <v>221</v>
      </c>
      <c r="C939" s="1" t="s">
        <v>222</v>
      </c>
    </row>
    <row r="940" spans="2:3" hidden="1">
      <c r="B940" s="1" t="s">
        <v>223</v>
      </c>
      <c r="C940" s="1" t="s">
        <v>220</v>
      </c>
    </row>
    <row r="941" spans="2:3" hidden="1">
      <c r="B941" s="1" t="s">
        <v>224</v>
      </c>
      <c r="C941" s="1" t="s">
        <v>212</v>
      </c>
    </row>
    <row r="942" spans="2:3" hidden="1">
      <c r="B942" s="1" t="s">
        <v>225</v>
      </c>
      <c r="C942" s="1" t="s">
        <v>226</v>
      </c>
    </row>
    <row r="943" spans="2:3" hidden="1">
      <c r="B943" s="1" t="s">
        <v>227</v>
      </c>
      <c r="C943" s="1" t="s">
        <v>220</v>
      </c>
    </row>
    <row r="944" spans="2:3" hidden="1">
      <c r="B944" s="1" t="s">
        <v>228</v>
      </c>
      <c r="C944" s="1" t="s">
        <v>220</v>
      </c>
    </row>
    <row r="945" spans="2:3" hidden="1">
      <c r="B945" s="1" t="s">
        <v>229</v>
      </c>
      <c r="C945" s="1" t="s">
        <v>208</v>
      </c>
    </row>
    <row r="946" spans="2:3" hidden="1">
      <c r="B946" s="1" t="s">
        <v>230</v>
      </c>
      <c r="C946" s="1" t="s">
        <v>231</v>
      </c>
    </row>
    <row r="947" spans="2:3" hidden="1">
      <c r="B947" s="1" t="s">
        <v>232</v>
      </c>
      <c r="C947" s="1" t="s">
        <v>204</v>
      </c>
    </row>
    <row r="948" spans="2:3" hidden="1">
      <c r="B948" s="1" t="s">
        <v>233</v>
      </c>
      <c r="C948" s="1" t="s">
        <v>231</v>
      </c>
    </row>
    <row r="949" spans="2:3" hidden="1">
      <c r="B949" s="1" t="s">
        <v>234</v>
      </c>
      <c r="C949" s="1" t="s">
        <v>235</v>
      </c>
    </row>
    <row r="950" spans="2:3" hidden="1">
      <c r="B950" s="1" t="s">
        <v>236</v>
      </c>
      <c r="C950" s="1" t="s">
        <v>237</v>
      </c>
    </row>
    <row r="951" spans="2:3" hidden="1">
      <c r="B951" s="1" t="s">
        <v>238</v>
      </c>
      <c r="C951" s="1" t="s">
        <v>239</v>
      </c>
    </row>
    <row r="952" spans="2:3" hidden="1">
      <c r="B952" s="1" t="s">
        <v>240</v>
      </c>
      <c r="C952" s="1" t="s">
        <v>208</v>
      </c>
    </row>
    <row r="953" spans="2:3" hidden="1">
      <c r="B953" s="1" t="s">
        <v>241</v>
      </c>
      <c r="C953" s="1" t="s">
        <v>208</v>
      </c>
    </row>
    <row r="954" spans="2:3" hidden="1">
      <c r="B954" s="1" t="s">
        <v>242</v>
      </c>
      <c r="C954" s="1" t="s">
        <v>243</v>
      </c>
    </row>
    <row r="955" spans="2:3" hidden="1">
      <c r="B955" s="1" t="s">
        <v>244</v>
      </c>
      <c r="C955" s="1" t="s">
        <v>245</v>
      </c>
    </row>
    <row r="956" spans="2:3" hidden="1">
      <c r="B956" s="1" t="s">
        <v>246</v>
      </c>
      <c r="C956" s="1">
        <v>0</v>
      </c>
    </row>
    <row r="957" spans="2:3" hidden="1">
      <c r="B957" s="1" t="s">
        <v>247</v>
      </c>
      <c r="C957" s="1">
        <v>0</v>
      </c>
    </row>
    <row r="958" spans="2:3" hidden="1">
      <c r="B958" s="1" t="s">
        <v>248</v>
      </c>
      <c r="C958" s="1">
        <v>0</v>
      </c>
    </row>
    <row r="959" spans="2:3" hidden="1">
      <c r="B959" s="1" t="s">
        <v>249</v>
      </c>
      <c r="C959" s="1">
        <v>0</v>
      </c>
    </row>
    <row r="960" spans="2:3" hidden="1">
      <c r="B960" s="1" t="s">
        <v>250</v>
      </c>
      <c r="C960" s="1">
        <v>0</v>
      </c>
    </row>
    <row r="961" spans="2:3" hidden="1">
      <c r="B961" s="1" t="s">
        <v>251</v>
      </c>
      <c r="C961" s="1">
        <v>0</v>
      </c>
    </row>
    <row r="962" spans="2:3" hidden="1">
      <c r="B962" s="1" t="s">
        <v>252</v>
      </c>
      <c r="C962" s="1">
        <v>0</v>
      </c>
    </row>
    <row r="963" spans="2:3" hidden="1">
      <c r="B963" s="1" t="s">
        <v>253</v>
      </c>
      <c r="C963" s="1">
        <v>0</v>
      </c>
    </row>
    <row r="964" spans="2:3" hidden="1">
      <c r="B964" s="1" t="s">
        <v>254</v>
      </c>
      <c r="C964" s="1">
        <v>0</v>
      </c>
    </row>
    <row r="965" spans="2:3" hidden="1">
      <c r="B965" s="1" t="s">
        <v>255</v>
      </c>
      <c r="C965" s="1">
        <v>0</v>
      </c>
    </row>
    <row r="966" spans="2:3" hidden="1">
      <c r="B966" s="1" t="s">
        <v>256</v>
      </c>
      <c r="C966" s="1">
        <v>0</v>
      </c>
    </row>
    <row r="967" spans="2:3" hidden="1">
      <c r="B967" s="1" t="s">
        <v>257</v>
      </c>
      <c r="C967" s="1">
        <v>0</v>
      </c>
    </row>
    <row r="968" spans="2:3" hidden="1">
      <c r="B968" s="1" t="s">
        <v>258</v>
      </c>
      <c r="C968" s="1">
        <v>0</v>
      </c>
    </row>
    <row r="969" spans="2:3" hidden="1">
      <c r="B969" s="1" t="s">
        <v>259</v>
      </c>
      <c r="C969" s="1">
        <v>0</v>
      </c>
    </row>
    <row r="970" spans="2:3" hidden="1">
      <c r="B970" s="1" t="s">
        <v>260</v>
      </c>
      <c r="C970" s="1" t="s">
        <v>261</v>
      </c>
    </row>
    <row r="971" spans="2:3" hidden="1">
      <c r="B971" s="1" t="s">
        <v>262</v>
      </c>
      <c r="C971" s="1">
        <v>0</v>
      </c>
    </row>
    <row r="972" spans="2:3" hidden="1">
      <c r="B972" s="1" t="s">
        <v>263</v>
      </c>
      <c r="C972" s="1">
        <v>0</v>
      </c>
    </row>
    <row r="973" spans="2:3" hidden="1">
      <c r="B973" s="1" t="s">
        <v>264</v>
      </c>
      <c r="C973" s="1">
        <v>0</v>
      </c>
    </row>
    <row r="974" spans="2:3" hidden="1">
      <c r="B974" s="1" t="s">
        <v>265</v>
      </c>
      <c r="C974" s="1">
        <v>0</v>
      </c>
    </row>
    <row r="975" spans="2:3" hidden="1">
      <c r="B975" s="1" t="s">
        <v>266</v>
      </c>
      <c r="C975" s="1" t="s">
        <v>267</v>
      </c>
    </row>
    <row r="976" spans="2:3" hidden="1">
      <c r="B976" s="1" t="s">
        <v>268</v>
      </c>
      <c r="C976" s="1">
        <v>0</v>
      </c>
    </row>
    <row r="977" spans="2:3" hidden="1">
      <c r="B977" s="1" t="s">
        <v>269</v>
      </c>
      <c r="C977" s="1">
        <v>0</v>
      </c>
    </row>
    <row r="978" spans="2:3" hidden="1">
      <c r="B978" s="1" t="s">
        <v>270</v>
      </c>
      <c r="C978" s="1">
        <v>0</v>
      </c>
    </row>
    <row r="979" spans="2:3" hidden="1">
      <c r="B979" s="1" t="s">
        <v>271</v>
      </c>
      <c r="C979" s="1">
        <v>0</v>
      </c>
    </row>
    <row r="980" spans="2:3" hidden="1">
      <c r="B980" s="1" t="s">
        <v>272</v>
      </c>
      <c r="C980" s="1">
        <v>0</v>
      </c>
    </row>
    <row r="981" spans="2:3" hidden="1">
      <c r="B981" s="1" t="s">
        <v>273</v>
      </c>
      <c r="C981" s="1">
        <v>0</v>
      </c>
    </row>
    <row r="982" spans="2:3" hidden="1">
      <c r="B982" s="1" t="s">
        <v>274</v>
      </c>
      <c r="C982" s="1">
        <v>0</v>
      </c>
    </row>
    <row r="983" spans="2:3" hidden="1">
      <c r="B983" s="1" t="s">
        <v>275</v>
      </c>
      <c r="C983" s="1">
        <v>0</v>
      </c>
    </row>
    <row r="984" spans="2:3" hidden="1">
      <c r="B984" s="1" t="s">
        <v>276</v>
      </c>
      <c r="C984" s="1">
        <v>0</v>
      </c>
    </row>
    <row r="985" spans="2:3" hidden="1">
      <c r="B985" s="1" t="s">
        <v>277</v>
      </c>
      <c r="C985" s="1">
        <v>0</v>
      </c>
    </row>
    <row r="986" spans="2:3" hidden="1">
      <c r="B986" s="1" t="s">
        <v>278</v>
      </c>
      <c r="C986" s="1">
        <v>0</v>
      </c>
    </row>
    <row r="987" spans="2:3" hidden="1">
      <c r="B987" s="1" t="s">
        <v>279</v>
      </c>
      <c r="C987" s="1">
        <v>0</v>
      </c>
    </row>
    <row r="988" spans="2:3" hidden="1">
      <c r="B988" s="1" t="s">
        <v>280</v>
      </c>
      <c r="C988" s="1">
        <v>0</v>
      </c>
    </row>
    <row r="989" spans="2:3" hidden="1">
      <c r="B989" s="1" t="s">
        <v>281</v>
      </c>
      <c r="C989" s="1">
        <v>0</v>
      </c>
    </row>
    <row r="990" spans="2:3" hidden="1">
      <c r="B990" s="1" t="s">
        <v>282</v>
      </c>
      <c r="C990" s="1">
        <v>0</v>
      </c>
    </row>
    <row r="991" spans="2:3" hidden="1">
      <c r="B991" s="1" t="s">
        <v>283</v>
      </c>
      <c r="C991" s="1">
        <v>0</v>
      </c>
    </row>
    <row r="992" spans="2:3" hidden="1">
      <c r="B992" s="1" t="s">
        <v>284</v>
      </c>
      <c r="C992" s="1" t="s">
        <v>261</v>
      </c>
    </row>
    <row r="993" spans="2:3" hidden="1">
      <c r="B993" s="1" t="s">
        <v>285</v>
      </c>
      <c r="C993" s="1" t="s">
        <v>267</v>
      </c>
    </row>
    <row r="994" spans="2:3" hidden="1">
      <c r="B994" s="1" t="s">
        <v>286</v>
      </c>
      <c r="C994" s="1">
        <v>0</v>
      </c>
    </row>
    <row r="995" spans="2:3" hidden="1">
      <c r="B995" s="1" t="s">
        <v>287</v>
      </c>
      <c r="C995" s="1">
        <v>0</v>
      </c>
    </row>
    <row r="996" spans="2:3" hidden="1">
      <c r="B996" s="1" t="s">
        <v>288</v>
      </c>
      <c r="C996" s="1">
        <v>0</v>
      </c>
    </row>
    <row r="997" spans="2:3" hidden="1">
      <c r="B997" s="1" t="s">
        <v>289</v>
      </c>
      <c r="C997" s="1">
        <v>0</v>
      </c>
    </row>
    <row r="998" spans="2:3" hidden="1">
      <c r="B998" s="1" t="s">
        <v>290</v>
      </c>
      <c r="C998" s="1">
        <v>0</v>
      </c>
    </row>
    <row r="999" spans="2:3" hidden="1">
      <c r="B999" s="1" t="s">
        <v>291</v>
      </c>
      <c r="C999" s="1">
        <v>0</v>
      </c>
    </row>
    <row r="1000" spans="2:3" hidden="1">
      <c r="B1000" s="1" t="s">
        <v>292</v>
      </c>
      <c r="C1000" s="1">
        <v>0</v>
      </c>
    </row>
    <row r="1001" spans="2:3" hidden="1">
      <c r="B1001" s="1" t="s">
        <v>293</v>
      </c>
      <c r="C1001" s="1">
        <v>0</v>
      </c>
    </row>
    <row r="1002" spans="2:3" hidden="1">
      <c r="B1002" s="1" t="s">
        <v>294</v>
      </c>
      <c r="C1002" s="1">
        <v>0</v>
      </c>
    </row>
    <row r="1003" spans="2:3" hidden="1">
      <c r="B1003" s="1" t="s">
        <v>295</v>
      </c>
      <c r="C1003" s="1">
        <v>0</v>
      </c>
    </row>
    <row r="1004" spans="2:3" hidden="1">
      <c r="B1004" s="1" t="s">
        <v>296</v>
      </c>
      <c r="C1004" s="1">
        <v>0</v>
      </c>
    </row>
    <row r="1005" spans="2:3" hidden="1">
      <c r="B1005" s="1" t="s">
        <v>297</v>
      </c>
      <c r="C1005" s="1">
        <v>0</v>
      </c>
    </row>
    <row r="1006" spans="2:3" hidden="1">
      <c r="B1006" s="1" t="s">
        <v>298</v>
      </c>
      <c r="C1006" s="1">
        <v>0</v>
      </c>
    </row>
    <row r="1007" spans="2:3" hidden="1">
      <c r="B1007" s="1" t="s">
        <v>299</v>
      </c>
      <c r="C1007" s="1">
        <v>0</v>
      </c>
    </row>
    <row r="1008" spans="2:3" hidden="1">
      <c r="B1008" s="1" t="s">
        <v>300</v>
      </c>
      <c r="C1008" s="1">
        <v>1</v>
      </c>
    </row>
    <row r="1009" spans="2:3" hidden="1">
      <c r="B1009" s="1" t="s">
        <v>301</v>
      </c>
      <c r="C1009" s="1">
        <v>0</v>
      </c>
    </row>
    <row r="1010" spans="2:3" hidden="1">
      <c r="B1010" s="1" t="s">
        <v>302</v>
      </c>
      <c r="C1010" s="1">
        <v>0</v>
      </c>
    </row>
    <row r="1011" spans="2:3" hidden="1">
      <c r="B1011" s="1" t="s">
        <v>303</v>
      </c>
      <c r="C1011" s="1">
        <v>0</v>
      </c>
    </row>
    <row r="1012" spans="2:3" hidden="1">
      <c r="B1012" s="1" t="s">
        <v>304</v>
      </c>
      <c r="C1012" s="1">
        <v>0</v>
      </c>
    </row>
    <row r="1013" spans="2:3" hidden="1">
      <c r="B1013" s="1" t="s">
        <v>305</v>
      </c>
      <c r="C1013" s="1">
        <v>1</v>
      </c>
    </row>
    <row r="1014" spans="2:3" hidden="1">
      <c r="B1014" s="1" t="s">
        <v>306</v>
      </c>
      <c r="C1014" s="1">
        <v>0</v>
      </c>
    </row>
    <row r="1015" spans="2:3" hidden="1">
      <c r="B1015" s="1" t="s">
        <v>307</v>
      </c>
      <c r="C1015" s="1">
        <v>0</v>
      </c>
    </row>
    <row r="1016" spans="2:3" hidden="1">
      <c r="B1016" s="1" t="s">
        <v>308</v>
      </c>
      <c r="C1016" s="1">
        <v>0</v>
      </c>
    </row>
    <row r="1017" spans="2:3" hidden="1">
      <c r="B1017" s="1" t="s">
        <v>309</v>
      </c>
      <c r="C1017" s="1">
        <v>0</v>
      </c>
    </row>
    <row r="1018" spans="2:3" hidden="1">
      <c r="B1018" s="1" t="s">
        <v>310</v>
      </c>
      <c r="C1018" s="1">
        <v>0</v>
      </c>
    </row>
    <row r="1019" spans="2:3" hidden="1">
      <c r="B1019" s="1" t="s">
        <v>311</v>
      </c>
      <c r="C1019" s="1">
        <v>0</v>
      </c>
    </row>
    <row r="1020" spans="2:3" hidden="1">
      <c r="B1020" s="1" t="s">
        <v>312</v>
      </c>
      <c r="C1020" s="1">
        <v>0</v>
      </c>
    </row>
    <row r="1021" spans="2:3" hidden="1">
      <c r="B1021" s="1" t="s">
        <v>313</v>
      </c>
      <c r="C1021" s="1">
        <v>0</v>
      </c>
    </row>
    <row r="1022" spans="2:3" hidden="1">
      <c r="B1022" s="1" t="s">
        <v>314</v>
      </c>
      <c r="C1022" s="1">
        <v>0</v>
      </c>
    </row>
    <row r="1023" spans="2:3" hidden="1">
      <c r="B1023" s="1" t="s">
        <v>315</v>
      </c>
      <c r="C1023" s="1">
        <v>0</v>
      </c>
    </row>
    <row r="1024" spans="2:3" hidden="1">
      <c r="B1024" s="1" t="s">
        <v>316</v>
      </c>
      <c r="C1024" s="1">
        <v>0</v>
      </c>
    </row>
    <row r="1025" spans="2:3" hidden="1">
      <c r="B1025" s="1" t="s">
        <v>317</v>
      </c>
      <c r="C1025" s="1">
        <v>0</v>
      </c>
    </row>
    <row r="1026" spans="2:3" hidden="1">
      <c r="B1026" s="1" t="s">
        <v>318</v>
      </c>
      <c r="C1026" s="1">
        <v>0</v>
      </c>
    </row>
    <row r="1027" spans="2:3" hidden="1">
      <c r="B1027" s="1" t="s">
        <v>319</v>
      </c>
      <c r="C1027" s="1">
        <v>0</v>
      </c>
    </row>
    <row r="1028" spans="2:3" hidden="1">
      <c r="B1028" s="1" t="s">
        <v>320</v>
      </c>
      <c r="C1028" s="1">
        <v>0</v>
      </c>
    </row>
    <row r="1029" spans="2:3" hidden="1">
      <c r="B1029" s="1" t="s">
        <v>321</v>
      </c>
      <c r="C1029" s="1">
        <v>0</v>
      </c>
    </row>
    <row r="1030" spans="2:3" hidden="1">
      <c r="B1030" s="1" t="s">
        <v>322</v>
      </c>
      <c r="C1030" s="1">
        <v>0</v>
      </c>
    </row>
    <row r="1031" spans="2:3" hidden="1">
      <c r="B1031" s="1" t="s">
        <v>323</v>
      </c>
      <c r="C1031" s="1">
        <v>1</v>
      </c>
    </row>
    <row r="1032" spans="2:3" hidden="1">
      <c r="B1032" s="1" t="s">
        <v>324</v>
      </c>
      <c r="C1032" s="1">
        <v>0</v>
      </c>
    </row>
    <row r="1033" spans="2:3" hidden="1">
      <c r="B1033" s="1" t="s">
        <v>325</v>
      </c>
      <c r="C1033" s="1">
        <v>0</v>
      </c>
    </row>
    <row r="1034" spans="2:3" hidden="1">
      <c r="B1034" s="1" t="s">
        <v>326</v>
      </c>
      <c r="C1034" s="1">
        <v>0</v>
      </c>
    </row>
    <row r="1035" spans="2:3" hidden="1">
      <c r="B1035" s="1" t="s">
        <v>327</v>
      </c>
      <c r="C1035" s="1">
        <v>0</v>
      </c>
    </row>
    <row r="1036" spans="2:3" hidden="1">
      <c r="B1036" s="1" t="s">
        <v>328</v>
      </c>
      <c r="C1036" s="1">
        <v>0</v>
      </c>
    </row>
    <row r="1037" spans="2:3" hidden="1">
      <c r="B1037" s="1" t="s">
        <v>329</v>
      </c>
      <c r="C1037" s="1">
        <v>0</v>
      </c>
    </row>
    <row r="1038" spans="2:3" hidden="1">
      <c r="B1038" s="1" t="s">
        <v>330</v>
      </c>
      <c r="C1038" s="1">
        <v>0</v>
      </c>
    </row>
    <row r="1039" spans="2:3" hidden="1">
      <c r="B1039" s="1" t="s">
        <v>331</v>
      </c>
      <c r="C1039" s="1">
        <v>0</v>
      </c>
    </row>
    <row r="1040" spans="2:3" hidden="1">
      <c r="B1040" s="1" t="s">
        <v>332</v>
      </c>
      <c r="C1040" s="1">
        <v>0</v>
      </c>
    </row>
    <row r="1041" spans="2:3" hidden="1">
      <c r="B1041" s="1" t="s">
        <v>333</v>
      </c>
      <c r="C1041" s="1">
        <v>0</v>
      </c>
    </row>
    <row r="1042" spans="2:3" hidden="1">
      <c r="B1042" s="1" t="s">
        <v>334</v>
      </c>
      <c r="C1042" s="1">
        <v>0</v>
      </c>
    </row>
    <row r="1043" spans="2:3" hidden="1">
      <c r="B1043" s="1" t="s">
        <v>335</v>
      </c>
      <c r="C1043" s="1">
        <v>0</v>
      </c>
    </row>
    <row r="1044" spans="2:3" hidden="1">
      <c r="B1044" s="1" t="s">
        <v>336</v>
      </c>
      <c r="C1044" s="1">
        <v>0</v>
      </c>
    </row>
    <row r="1045" spans="2:3" hidden="1">
      <c r="B1045" s="1" t="s">
        <v>337</v>
      </c>
      <c r="C1045" s="1">
        <v>0</v>
      </c>
    </row>
    <row r="1046" spans="2:3" hidden="1">
      <c r="B1046" s="1" t="s">
        <v>338</v>
      </c>
      <c r="C1046" s="1">
        <v>0</v>
      </c>
    </row>
    <row r="1047" spans="2:3" hidden="1">
      <c r="B1047" s="1" t="s">
        <v>339</v>
      </c>
      <c r="C1047" s="1">
        <v>0</v>
      </c>
    </row>
    <row r="1048" spans="2:3" hidden="1">
      <c r="B1048" s="1" t="s">
        <v>340</v>
      </c>
      <c r="C1048" s="1">
        <v>0</v>
      </c>
    </row>
    <row r="1049" spans="2:3" hidden="1">
      <c r="B1049" s="1" t="s">
        <v>341</v>
      </c>
      <c r="C1049" s="1">
        <v>0</v>
      </c>
    </row>
    <row r="1050" spans="2:3" hidden="1">
      <c r="B1050" s="1" t="s">
        <v>342</v>
      </c>
      <c r="C1050" s="1">
        <v>0</v>
      </c>
    </row>
    <row r="1051" spans="2:3" hidden="1">
      <c r="B1051" s="1" t="s">
        <v>343</v>
      </c>
      <c r="C1051" s="1">
        <v>0</v>
      </c>
    </row>
    <row r="1052" spans="2:3" hidden="1">
      <c r="B1052" s="1" t="s">
        <v>344</v>
      </c>
      <c r="C1052" s="1">
        <v>0</v>
      </c>
    </row>
    <row r="1053" spans="2:3" hidden="1">
      <c r="B1053" s="1" t="s">
        <v>345</v>
      </c>
      <c r="C1053" s="1">
        <v>0</v>
      </c>
    </row>
    <row r="1054" spans="2:3" hidden="1">
      <c r="B1054" s="1" t="s">
        <v>346</v>
      </c>
      <c r="C1054" s="1">
        <v>0</v>
      </c>
    </row>
    <row r="1055" spans="2:3" hidden="1">
      <c r="B1055" s="1" t="s">
        <v>347</v>
      </c>
      <c r="C1055" s="1">
        <v>0</v>
      </c>
    </row>
    <row r="1056" spans="2:3" hidden="1">
      <c r="B1056" s="1" t="s">
        <v>348</v>
      </c>
      <c r="C1056" s="1">
        <v>0</v>
      </c>
    </row>
    <row r="1057" spans="2:3" hidden="1">
      <c r="B1057" s="1" t="s">
        <v>349</v>
      </c>
      <c r="C1057" s="1">
        <v>0</v>
      </c>
    </row>
    <row r="1058" spans="2:3" hidden="1">
      <c r="B1058" s="1" t="s">
        <v>350</v>
      </c>
      <c r="C1058" s="1">
        <v>0</v>
      </c>
    </row>
    <row r="1059" spans="2:3" hidden="1">
      <c r="B1059" s="1" t="s">
        <v>351</v>
      </c>
      <c r="C1059" s="1">
        <v>0</v>
      </c>
    </row>
    <row r="1060" spans="2:3" hidden="1">
      <c r="B1060" s="1" t="s">
        <v>352</v>
      </c>
      <c r="C1060" s="1">
        <v>0</v>
      </c>
    </row>
    <row r="1061" spans="2:3" hidden="1">
      <c r="B1061" s="1" t="s">
        <v>353</v>
      </c>
      <c r="C1061" s="1">
        <v>0</v>
      </c>
    </row>
    <row r="1062" spans="2:3" hidden="1">
      <c r="B1062" s="1" t="s">
        <v>354</v>
      </c>
      <c r="C1062" s="1">
        <v>0</v>
      </c>
    </row>
    <row r="1063" spans="2:3" hidden="1">
      <c r="B1063" s="1" t="s">
        <v>355</v>
      </c>
      <c r="C1063" s="1">
        <v>0</v>
      </c>
    </row>
    <row r="1064" spans="2:3" hidden="1">
      <c r="B1064" s="1" t="s">
        <v>356</v>
      </c>
      <c r="C1064" s="1">
        <v>0</v>
      </c>
    </row>
    <row r="1065" spans="2:3" hidden="1">
      <c r="B1065" s="1" t="s">
        <v>357</v>
      </c>
      <c r="C1065" s="1">
        <v>0</v>
      </c>
    </row>
    <row r="1066" spans="2:3" hidden="1">
      <c r="B1066" s="1" t="s">
        <v>358</v>
      </c>
      <c r="C1066" s="1">
        <v>0</v>
      </c>
    </row>
    <row r="1067" spans="2:3" hidden="1">
      <c r="B1067" s="1" t="s">
        <v>359</v>
      </c>
      <c r="C1067" s="1">
        <v>0</v>
      </c>
    </row>
    <row r="1068" spans="2:3" hidden="1">
      <c r="B1068" s="1" t="s">
        <v>360</v>
      </c>
      <c r="C1068" s="1">
        <v>0</v>
      </c>
    </row>
    <row r="1069" spans="2:3" hidden="1">
      <c r="B1069" s="1" t="s">
        <v>361</v>
      </c>
      <c r="C1069" s="1">
        <v>0</v>
      </c>
    </row>
    <row r="1070" spans="2:3" hidden="1">
      <c r="B1070" s="1" t="s">
        <v>362</v>
      </c>
      <c r="C1070" s="1">
        <v>0</v>
      </c>
    </row>
    <row r="1071" spans="2:3" hidden="1">
      <c r="B1071" s="1" t="s">
        <v>363</v>
      </c>
      <c r="C1071" s="1">
        <v>0</v>
      </c>
    </row>
    <row r="1072" spans="2:3" hidden="1">
      <c r="B1072" s="1" t="s">
        <v>364</v>
      </c>
      <c r="C1072" s="1">
        <v>0</v>
      </c>
    </row>
    <row r="1073" spans="2:3" hidden="1">
      <c r="B1073" s="1" t="s">
        <v>365</v>
      </c>
      <c r="C1073" s="1">
        <v>0</v>
      </c>
    </row>
  </sheetData>
  <sheetProtection sheet="1" objects="1" scenarios="1" selectLockedCells="1"/>
  <protectedRanges>
    <protectedRange sqref="F1 D8:E8 F21:F22 F27" name="Grey edit cells"/>
  </protectedRanges>
  <mergeCells count="4">
    <mergeCell ref="B3:F3"/>
    <mergeCell ref="B58:C58"/>
    <mergeCell ref="B59:C59"/>
    <mergeCell ref="B60:C60"/>
  </mergeCells>
  <conditionalFormatting sqref="B67:B68">
    <cfRule type="expression" dxfId="14" priority="3" stopIfTrue="1">
      <formula>MID($A64,1,4)="Rent"</formula>
    </cfRule>
  </conditionalFormatting>
  <conditionalFormatting sqref="B69:B70">
    <cfRule type="expression" dxfId="13" priority="1" stopIfTrue="1">
      <formula>MID($A69,1,4)="Rent"</formula>
    </cfRule>
  </conditionalFormatting>
  <conditionalFormatting sqref="C11:D11">
    <cfRule type="expression" dxfId="12" priority="7">
      <formula>$F$1="no"</formula>
    </cfRule>
  </conditionalFormatting>
  <conditionalFormatting sqref="C12:D23 C27:D28">
    <cfRule type="expression" dxfId="11" priority="32">
      <formula>$F$1="no"</formula>
    </cfRule>
  </conditionalFormatting>
  <conditionalFormatting sqref="C24:D24 D25 C26:D26">
    <cfRule type="expression" dxfId="10" priority="2">
      <formula>$F$1="No"</formula>
    </cfRule>
  </conditionalFormatting>
  <dataValidations count="1">
    <dataValidation type="list" allowBlank="1" showInputMessage="1" showErrorMessage="1" sqref="F1" xr:uid="{683CC74E-ECCB-4787-8BEE-522FFA98F4B8}">
      <formula1>"Yes,No"</formula1>
    </dataValidation>
  </dataValidations>
  <pageMargins left="0.7" right="0.7" top="0.75" bottom="0.75" header="0.3" footer="0.3"/>
  <pageSetup scale="85" orientation="portrait" r:id="rId1"/>
  <headerFooter>
    <oddFooter>&amp;C&amp;"Verdana,Regular"&amp;8The Crop Budget Generator is a product of the Food and Agricultural Policy Research Institute at the University of Missouri
www.fapri.missouri.edu</oddFooter>
  </headerFooter>
  <ignoredErrors>
    <ignoredError sqref="F23:F26"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B18C7-28D3-43C1-9570-395A0D8062F2}">
  <dimension ref="A1:WVP1070"/>
  <sheetViews>
    <sheetView workbookViewId="0">
      <selection activeCell="F1" sqref="F1"/>
    </sheetView>
  </sheetViews>
  <sheetFormatPr defaultColWidth="0" defaultRowHeight="16.5" zeroHeight="1"/>
  <cols>
    <col min="1" max="1" width="2.625" style="1" customWidth="1"/>
    <col min="2" max="2" width="33.875" style="1" customWidth="1"/>
    <col min="3" max="3" width="11.5" style="1" customWidth="1"/>
    <col min="4" max="4" width="9.625" style="1" customWidth="1"/>
    <col min="5" max="6" width="14.375" style="1" customWidth="1"/>
    <col min="7" max="7" width="11.75" style="1" customWidth="1"/>
    <col min="8" max="8" width="11.875" style="1" customWidth="1"/>
    <col min="9" max="9" width="9" style="1" hidden="1"/>
    <col min="10" max="257" width="8" style="1" hidden="1"/>
    <col min="258" max="258" width="28.125" style="1" hidden="1"/>
    <col min="259" max="259" width="8.125" style="1" hidden="1"/>
    <col min="260" max="260" width="9.125" style="1" hidden="1"/>
    <col min="261" max="261" width="9.75" style="1" hidden="1"/>
    <col min="262" max="262" width="11.125" style="1" hidden="1"/>
    <col min="263" max="263" width="10.375" style="1" hidden="1"/>
    <col min="264" max="264" width="10.5" style="1" hidden="1"/>
    <col min="265" max="513" width="8" style="1" hidden="1"/>
    <col min="514" max="514" width="28.125" style="1" hidden="1"/>
    <col min="515" max="515" width="8.125" style="1" hidden="1"/>
    <col min="516" max="516" width="9.125" style="1" hidden="1"/>
    <col min="517" max="517" width="9.75" style="1" hidden="1"/>
    <col min="518" max="518" width="11.125" style="1" hidden="1"/>
    <col min="519" max="519" width="10.375" style="1" hidden="1"/>
    <col min="520" max="520" width="10.5" style="1" hidden="1"/>
    <col min="521" max="769" width="8" style="1" hidden="1"/>
    <col min="770" max="770" width="28.125" style="1" hidden="1"/>
    <col min="771" max="771" width="8.125" style="1" hidden="1"/>
    <col min="772" max="772" width="9.125" style="1" hidden="1"/>
    <col min="773" max="773" width="9.75" style="1" hidden="1"/>
    <col min="774" max="774" width="11.125" style="1" hidden="1"/>
    <col min="775" max="775" width="10.375" style="1" hidden="1"/>
    <col min="776" max="776" width="10.5" style="1" hidden="1"/>
    <col min="777" max="1025" width="9" style="1" hidden="1"/>
    <col min="1026" max="1026" width="28.125" style="1" hidden="1"/>
    <col min="1027" max="1027" width="8.125" style="1" hidden="1"/>
    <col min="1028" max="1028" width="9.125" style="1" hidden="1"/>
    <col min="1029" max="1029" width="9.75" style="1" hidden="1"/>
    <col min="1030" max="1030" width="11.125" style="1" hidden="1"/>
    <col min="1031" max="1031" width="10.375" style="1" hidden="1"/>
    <col min="1032" max="1032" width="10.5" style="1" hidden="1"/>
    <col min="1033" max="1281" width="8" style="1" hidden="1"/>
    <col min="1282" max="1282" width="28.125" style="1" hidden="1"/>
    <col min="1283" max="1283" width="8.125" style="1" hidden="1"/>
    <col min="1284" max="1284" width="9.125" style="1" hidden="1"/>
    <col min="1285" max="1285" width="9.75" style="1" hidden="1"/>
    <col min="1286" max="1286" width="11.125" style="1" hidden="1"/>
    <col min="1287" max="1287" width="10.375" style="1" hidden="1"/>
    <col min="1288" max="1288" width="10.5" style="1" hidden="1"/>
    <col min="1289" max="1537" width="8" style="1" hidden="1"/>
    <col min="1538" max="1538" width="28.125" style="1" hidden="1"/>
    <col min="1539" max="1539" width="8.125" style="1" hidden="1"/>
    <col min="1540" max="1540" width="9.125" style="1" hidden="1"/>
    <col min="1541" max="1541" width="9.75" style="1" hidden="1"/>
    <col min="1542" max="1542" width="11.125" style="1" hidden="1"/>
    <col min="1543" max="1543" width="10.375" style="1" hidden="1"/>
    <col min="1544" max="1544" width="10.5" style="1" hidden="1"/>
    <col min="1545" max="1793" width="8" style="1" hidden="1"/>
    <col min="1794" max="1794" width="28.125" style="1" hidden="1"/>
    <col min="1795" max="1795" width="8.125" style="1" hidden="1"/>
    <col min="1796" max="1796" width="9.125" style="1" hidden="1"/>
    <col min="1797" max="1797" width="9.75" style="1" hidden="1"/>
    <col min="1798" max="1798" width="11.125" style="1" hidden="1"/>
    <col min="1799" max="1799" width="10.375" style="1" hidden="1"/>
    <col min="1800" max="1800" width="10.5" style="1" hidden="1"/>
    <col min="1801" max="2049" width="9" style="1" hidden="1"/>
    <col min="2050" max="2050" width="28.125" style="1" hidden="1"/>
    <col min="2051" max="2051" width="8.125" style="1" hidden="1"/>
    <col min="2052" max="2052" width="9.125" style="1" hidden="1"/>
    <col min="2053" max="2053" width="9.75" style="1" hidden="1"/>
    <col min="2054" max="2054" width="11.125" style="1" hidden="1"/>
    <col min="2055" max="2055" width="10.375" style="1" hidden="1"/>
    <col min="2056" max="2056" width="10.5" style="1" hidden="1"/>
    <col min="2057" max="2305" width="8" style="1" hidden="1"/>
    <col min="2306" max="2306" width="28.125" style="1" hidden="1"/>
    <col min="2307" max="2307" width="8.125" style="1" hidden="1"/>
    <col min="2308" max="2308" width="9.125" style="1" hidden="1"/>
    <col min="2309" max="2309" width="9.75" style="1" hidden="1"/>
    <col min="2310" max="2310" width="11.125" style="1" hidden="1"/>
    <col min="2311" max="2311" width="10.375" style="1" hidden="1"/>
    <col min="2312" max="2312" width="10.5" style="1" hidden="1"/>
    <col min="2313" max="2561" width="8" style="1" hidden="1"/>
    <col min="2562" max="2562" width="28.125" style="1" hidden="1"/>
    <col min="2563" max="2563" width="8.125" style="1" hidden="1"/>
    <col min="2564" max="2564" width="9.125" style="1" hidden="1"/>
    <col min="2565" max="2565" width="9.75" style="1" hidden="1"/>
    <col min="2566" max="2566" width="11.125" style="1" hidden="1"/>
    <col min="2567" max="2567" width="10.375" style="1" hidden="1"/>
    <col min="2568" max="2568" width="10.5" style="1" hidden="1"/>
    <col min="2569" max="2817" width="8" style="1" hidden="1"/>
    <col min="2818" max="2818" width="28.125" style="1" hidden="1"/>
    <col min="2819" max="2819" width="8.125" style="1" hidden="1"/>
    <col min="2820" max="2820" width="9.125" style="1" hidden="1"/>
    <col min="2821" max="2821" width="9.75" style="1" hidden="1"/>
    <col min="2822" max="2822" width="11.125" style="1" hidden="1"/>
    <col min="2823" max="2823" width="10.375" style="1" hidden="1"/>
    <col min="2824" max="2824" width="10.5" style="1" hidden="1"/>
    <col min="2825" max="3073" width="9" style="1" hidden="1"/>
    <col min="3074" max="3074" width="28.125" style="1" hidden="1"/>
    <col min="3075" max="3075" width="8.125" style="1" hidden="1"/>
    <col min="3076" max="3076" width="9.125" style="1" hidden="1"/>
    <col min="3077" max="3077" width="9.75" style="1" hidden="1"/>
    <col min="3078" max="3078" width="11.125" style="1" hidden="1"/>
    <col min="3079" max="3079" width="10.375" style="1" hidden="1"/>
    <col min="3080" max="3080" width="10.5" style="1" hidden="1"/>
    <col min="3081" max="3329" width="8" style="1" hidden="1"/>
    <col min="3330" max="3330" width="28.125" style="1" hidden="1"/>
    <col min="3331" max="3331" width="8.125" style="1" hidden="1"/>
    <col min="3332" max="3332" width="9.125" style="1" hidden="1"/>
    <col min="3333" max="3333" width="9.75" style="1" hidden="1"/>
    <col min="3334" max="3334" width="11.125" style="1" hidden="1"/>
    <col min="3335" max="3335" width="10.375" style="1" hidden="1"/>
    <col min="3336" max="3336" width="10.5" style="1" hidden="1"/>
    <col min="3337" max="3585" width="8" style="1" hidden="1"/>
    <col min="3586" max="3586" width="28.125" style="1" hidden="1"/>
    <col min="3587" max="3587" width="8.125" style="1" hidden="1"/>
    <col min="3588" max="3588" width="9.125" style="1" hidden="1"/>
    <col min="3589" max="3589" width="9.75" style="1" hidden="1"/>
    <col min="3590" max="3590" width="11.125" style="1" hidden="1"/>
    <col min="3591" max="3591" width="10.375" style="1" hidden="1"/>
    <col min="3592" max="3592" width="10.5" style="1" hidden="1"/>
    <col min="3593" max="3841" width="8" style="1" hidden="1"/>
    <col min="3842" max="3842" width="28.125" style="1" hidden="1"/>
    <col min="3843" max="3843" width="8.125" style="1" hidden="1"/>
    <col min="3844" max="3844" width="9.125" style="1" hidden="1"/>
    <col min="3845" max="3845" width="9.75" style="1" hidden="1"/>
    <col min="3846" max="3846" width="11.125" style="1" hidden="1"/>
    <col min="3847" max="3847" width="10.375" style="1" hidden="1"/>
    <col min="3848" max="3848" width="10.5" style="1" hidden="1"/>
    <col min="3849" max="4097" width="9" style="1" hidden="1"/>
    <col min="4098" max="4098" width="28.125" style="1" hidden="1"/>
    <col min="4099" max="4099" width="8.125" style="1" hidden="1"/>
    <col min="4100" max="4100" width="9.125" style="1" hidden="1"/>
    <col min="4101" max="4101" width="9.75" style="1" hidden="1"/>
    <col min="4102" max="4102" width="11.125" style="1" hidden="1"/>
    <col min="4103" max="4103" width="10.375" style="1" hidden="1"/>
    <col min="4104" max="4104" width="10.5" style="1" hidden="1"/>
    <col min="4105" max="4353" width="8" style="1" hidden="1"/>
    <col min="4354" max="4354" width="28.125" style="1" hidden="1"/>
    <col min="4355" max="4355" width="8.125" style="1" hidden="1"/>
    <col min="4356" max="4356" width="9.125" style="1" hidden="1"/>
    <col min="4357" max="4357" width="9.75" style="1" hidden="1"/>
    <col min="4358" max="4358" width="11.125" style="1" hidden="1"/>
    <col min="4359" max="4359" width="10.375" style="1" hidden="1"/>
    <col min="4360" max="4360" width="10.5" style="1" hidden="1"/>
    <col min="4361" max="4609" width="8" style="1" hidden="1"/>
    <col min="4610" max="4610" width="28.125" style="1" hidden="1"/>
    <col min="4611" max="4611" width="8.125" style="1" hidden="1"/>
    <col min="4612" max="4612" width="9.125" style="1" hidden="1"/>
    <col min="4613" max="4613" width="9.75" style="1" hidden="1"/>
    <col min="4614" max="4614" width="11.125" style="1" hidden="1"/>
    <col min="4615" max="4615" width="10.375" style="1" hidden="1"/>
    <col min="4616" max="4616" width="10.5" style="1" hidden="1"/>
    <col min="4617" max="4865" width="8" style="1" hidden="1"/>
    <col min="4866" max="4866" width="28.125" style="1" hidden="1"/>
    <col min="4867" max="4867" width="8.125" style="1" hidden="1"/>
    <col min="4868" max="4868" width="9.125" style="1" hidden="1"/>
    <col min="4869" max="4869" width="9.75" style="1" hidden="1"/>
    <col min="4870" max="4870" width="11.125" style="1" hidden="1"/>
    <col min="4871" max="4871" width="10.375" style="1" hidden="1"/>
    <col min="4872" max="4872" width="10.5" style="1" hidden="1"/>
    <col min="4873" max="5121" width="9" style="1" hidden="1"/>
    <col min="5122" max="5122" width="28.125" style="1" hidden="1"/>
    <col min="5123" max="5123" width="8.125" style="1" hidden="1"/>
    <col min="5124" max="5124" width="9.125" style="1" hidden="1"/>
    <col min="5125" max="5125" width="9.75" style="1" hidden="1"/>
    <col min="5126" max="5126" width="11.125" style="1" hidden="1"/>
    <col min="5127" max="5127" width="10.375" style="1" hidden="1"/>
    <col min="5128" max="5128" width="10.5" style="1" hidden="1"/>
    <col min="5129" max="5377" width="8" style="1" hidden="1"/>
    <col min="5378" max="5378" width="28.125" style="1" hidden="1"/>
    <col min="5379" max="5379" width="8.125" style="1" hidden="1"/>
    <col min="5380" max="5380" width="9.125" style="1" hidden="1"/>
    <col min="5381" max="5381" width="9.75" style="1" hidden="1"/>
    <col min="5382" max="5382" width="11.125" style="1" hidden="1"/>
    <col min="5383" max="5383" width="10.375" style="1" hidden="1"/>
    <col min="5384" max="5384" width="10.5" style="1" hidden="1"/>
    <col min="5385" max="5633" width="8" style="1" hidden="1"/>
    <col min="5634" max="5634" width="28.125" style="1" hidden="1"/>
    <col min="5635" max="5635" width="8.125" style="1" hidden="1"/>
    <col min="5636" max="5636" width="9.125" style="1" hidden="1"/>
    <col min="5637" max="5637" width="9.75" style="1" hidden="1"/>
    <col min="5638" max="5638" width="11.125" style="1" hidden="1"/>
    <col min="5639" max="5639" width="10.375" style="1" hidden="1"/>
    <col min="5640" max="5640" width="10.5" style="1" hidden="1"/>
    <col min="5641" max="5889" width="8" style="1" hidden="1"/>
    <col min="5890" max="5890" width="28.125" style="1" hidden="1"/>
    <col min="5891" max="5891" width="8.125" style="1" hidden="1"/>
    <col min="5892" max="5892" width="9.125" style="1" hidden="1"/>
    <col min="5893" max="5893" width="9.75" style="1" hidden="1"/>
    <col min="5894" max="5894" width="11.125" style="1" hidden="1"/>
    <col min="5895" max="5895" width="10.375" style="1" hidden="1"/>
    <col min="5896" max="5896" width="10.5" style="1" hidden="1"/>
    <col min="5897" max="6145" width="9" style="1" hidden="1"/>
    <col min="6146" max="6146" width="28.125" style="1" hidden="1"/>
    <col min="6147" max="6147" width="8.125" style="1" hidden="1"/>
    <col min="6148" max="6148" width="9.125" style="1" hidden="1"/>
    <col min="6149" max="6149" width="9.75" style="1" hidden="1"/>
    <col min="6150" max="6150" width="11.125" style="1" hidden="1"/>
    <col min="6151" max="6151" width="10.375" style="1" hidden="1"/>
    <col min="6152" max="6152" width="10.5" style="1" hidden="1"/>
    <col min="6153" max="6401" width="8" style="1" hidden="1"/>
    <col min="6402" max="6402" width="28.125" style="1" hidden="1"/>
    <col min="6403" max="6403" width="8.125" style="1" hidden="1"/>
    <col min="6404" max="6404" width="9.125" style="1" hidden="1"/>
    <col min="6405" max="6405" width="9.75" style="1" hidden="1"/>
    <col min="6406" max="6406" width="11.125" style="1" hidden="1"/>
    <col min="6407" max="6407" width="10.375" style="1" hidden="1"/>
    <col min="6408" max="6408" width="10.5" style="1" hidden="1"/>
    <col min="6409" max="6657" width="8" style="1" hidden="1"/>
    <col min="6658" max="6658" width="28.125" style="1" hidden="1"/>
    <col min="6659" max="6659" width="8.125" style="1" hidden="1"/>
    <col min="6660" max="6660" width="9.125" style="1" hidden="1"/>
    <col min="6661" max="6661" width="9.75" style="1" hidden="1"/>
    <col min="6662" max="6662" width="11.125" style="1" hidden="1"/>
    <col min="6663" max="6663" width="10.375" style="1" hidden="1"/>
    <col min="6664" max="6664" width="10.5" style="1" hidden="1"/>
    <col min="6665" max="6913" width="8" style="1" hidden="1"/>
    <col min="6914" max="6914" width="28.125" style="1" hidden="1"/>
    <col min="6915" max="6915" width="8.125" style="1" hidden="1"/>
    <col min="6916" max="6916" width="9.125" style="1" hidden="1"/>
    <col min="6917" max="6917" width="9.75" style="1" hidden="1"/>
    <col min="6918" max="6918" width="11.125" style="1" hidden="1"/>
    <col min="6919" max="6919" width="10.375" style="1" hidden="1"/>
    <col min="6920" max="6920" width="10.5" style="1" hidden="1"/>
    <col min="6921" max="7169" width="9" style="1" hidden="1"/>
    <col min="7170" max="7170" width="28.125" style="1" hidden="1"/>
    <col min="7171" max="7171" width="8.125" style="1" hidden="1"/>
    <col min="7172" max="7172" width="9.125" style="1" hidden="1"/>
    <col min="7173" max="7173" width="9.75" style="1" hidden="1"/>
    <col min="7174" max="7174" width="11.125" style="1" hidden="1"/>
    <col min="7175" max="7175" width="10.375" style="1" hidden="1"/>
    <col min="7176" max="7176" width="10.5" style="1" hidden="1"/>
    <col min="7177" max="7425" width="8" style="1" hidden="1"/>
    <col min="7426" max="7426" width="28.125" style="1" hidden="1"/>
    <col min="7427" max="7427" width="8.125" style="1" hidden="1"/>
    <col min="7428" max="7428" width="9.125" style="1" hidden="1"/>
    <col min="7429" max="7429" width="9.75" style="1" hidden="1"/>
    <col min="7430" max="7430" width="11.125" style="1" hidden="1"/>
    <col min="7431" max="7431" width="10.375" style="1" hidden="1"/>
    <col min="7432" max="7432" width="10.5" style="1" hidden="1"/>
    <col min="7433" max="7681" width="8" style="1" hidden="1"/>
    <col min="7682" max="7682" width="28.125" style="1" hidden="1"/>
    <col min="7683" max="7683" width="8.125" style="1" hidden="1"/>
    <col min="7684" max="7684" width="9.125" style="1" hidden="1"/>
    <col min="7685" max="7685" width="9.75" style="1" hidden="1"/>
    <col min="7686" max="7686" width="11.125" style="1" hidden="1"/>
    <col min="7687" max="7687" width="10.375" style="1" hidden="1"/>
    <col min="7688" max="7688" width="10.5" style="1" hidden="1"/>
    <col min="7689" max="7937" width="8" style="1" hidden="1"/>
    <col min="7938" max="7938" width="28.125" style="1" hidden="1"/>
    <col min="7939" max="7939" width="8.125" style="1" hidden="1"/>
    <col min="7940" max="7940" width="9.125" style="1" hidden="1"/>
    <col min="7941" max="7941" width="9.75" style="1" hidden="1"/>
    <col min="7942" max="7942" width="11.125" style="1" hidden="1"/>
    <col min="7943" max="7943" width="10.375" style="1" hidden="1"/>
    <col min="7944" max="7944" width="10.5" style="1" hidden="1"/>
    <col min="7945" max="8193" width="9" style="1" hidden="1"/>
    <col min="8194" max="8194" width="28.125" style="1" hidden="1"/>
    <col min="8195" max="8195" width="8.125" style="1" hidden="1"/>
    <col min="8196" max="8196" width="9.125" style="1" hidden="1"/>
    <col min="8197" max="8197" width="9.75" style="1" hidden="1"/>
    <col min="8198" max="8198" width="11.125" style="1" hidden="1"/>
    <col min="8199" max="8199" width="10.375" style="1" hidden="1"/>
    <col min="8200" max="8200" width="10.5" style="1" hidden="1"/>
    <col min="8201" max="8449" width="8" style="1" hidden="1"/>
    <col min="8450" max="8450" width="28.125" style="1" hidden="1"/>
    <col min="8451" max="8451" width="8.125" style="1" hidden="1"/>
    <col min="8452" max="8452" width="9.125" style="1" hidden="1"/>
    <col min="8453" max="8453" width="9.75" style="1" hidden="1"/>
    <col min="8454" max="8454" width="11.125" style="1" hidden="1"/>
    <col min="8455" max="8455" width="10.375" style="1" hidden="1"/>
    <col min="8456" max="8456" width="10.5" style="1" hidden="1"/>
    <col min="8457" max="8705" width="8" style="1" hidden="1"/>
    <col min="8706" max="8706" width="28.125" style="1" hidden="1"/>
    <col min="8707" max="8707" width="8.125" style="1" hidden="1"/>
    <col min="8708" max="8708" width="9.125" style="1" hidden="1"/>
    <col min="8709" max="8709" width="9.75" style="1" hidden="1"/>
    <col min="8710" max="8710" width="11.125" style="1" hidden="1"/>
    <col min="8711" max="8711" width="10.375" style="1" hidden="1"/>
    <col min="8712" max="8712" width="10.5" style="1" hidden="1"/>
    <col min="8713" max="8961" width="8" style="1" hidden="1"/>
    <col min="8962" max="8962" width="28.125" style="1" hidden="1"/>
    <col min="8963" max="8963" width="8.125" style="1" hidden="1"/>
    <col min="8964" max="8964" width="9.125" style="1" hidden="1"/>
    <col min="8965" max="8965" width="9.75" style="1" hidden="1"/>
    <col min="8966" max="8966" width="11.125" style="1" hidden="1"/>
    <col min="8967" max="8967" width="10.375" style="1" hidden="1"/>
    <col min="8968" max="8968" width="10.5" style="1" hidden="1"/>
    <col min="8969" max="9217" width="9" style="1" hidden="1"/>
    <col min="9218" max="9218" width="28.125" style="1" hidden="1"/>
    <col min="9219" max="9219" width="8.125" style="1" hidden="1"/>
    <col min="9220" max="9220" width="9.125" style="1" hidden="1"/>
    <col min="9221" max="9221" width="9.75" style="1" hidden="1"/>
    <col min="9222" max="9222" width="11.125" style="1" hidden="1"/>
    <col min="9223" max="9223" width="10.375" style="1" hidden="1"/>
    <col min="9224" max="9224" width="10.5" style="1" hidden="1"/>
    <col min="9225" max="9473" width="8" style="1" hidden="1"/>
    <col min="9474" max="9474" width="28.125" style="1" hidden="1"/>
    <col min="9475" max="9475" width="8.125" style="1" hidden="1"/>
    <col min="9476" max="9476" width="9.125" style="1" hidden="1"/>
    <col min="9477" max="9477" width="9.75" style="1" hidden="1"/>
    <col min="9478" max="9478" width="11.125" style="1" hidden="1"/>
    <col min="9479" max="9479" width="10.375" style="1" hidden="1"/>
    <col min="9480" max="9480" width="10.5" style="1" hidden="1"/>
    <col min="9481" max="9729" width="8" style="1" hidden="1"/>
    <col min="9730" max="9730" width="28.125" style="1" hidden="1"/>
    <col min="9731" max="9731" width="8.125" style="1" hidden="1"/>
    <col min="9732" max="9732" width="9.125" style="1" hidden="1"/>
    <col min="9733" max="9733" width="9.75" style="1" hidden="1"/>
    <col min="9734" max="9734" width="11.125" style="1" hidden="1"/>
    <col min="9735" max="9735" width="10.375" style="1" hidden="1"/>
    <col min="9736" max="9736" width="10.5" style="1" hidden="1"/>
    <col min="9737" max="9985" width="8" style="1" hidden="1"/>
    <col min="9986" max="9986" width="28.125" style="1" hidden="1"/>
    <col min="9987" max="9987" width="8.125" style="1" hidden="1"/>
    <col min="9988" max="9988" width="9.125" style="1" hidden="1"/>
    <col min="9989" max="9989" width="9.75" style="1" hidden="1"/>
    <col min="9990" max="9990" width="11.125" style="1" hidden="1"/>
    <col min="9991" max="9991" width="10.375" style="1" hidden="1"/>
    <col min="9992" max="9992" width="10.5" style="1" hidden="1"/>
    <col min="9993" max="10241" width="9" style="1" hidden="1"/>
    <col min="10242" max="10242" width="28.125" style="1" hidden="1"/>
    <col min="10243" max="10243" width="8.125" style="1" hidden="1"/>
    <col min="10244" max="10244" width="9.125" style="1" hidden="1"/>
    <col min="10245" max="10245" width="9.75" style="1" hidden="1"/>
    <col min="10246" max="10246" width="11.125" style="1" hidden="1"/>
    <col min="10247" max="10247" width="10.375" style="1" hidden="1"/>
    <col min="10248" max="10248" width="10.5" style="1" hidden="1"/>
    <col min="10249" max="10497" width="8" style="1" hidden="1"/>
    <col min="10498" max="10498" width="28.125" style="1" hidden="1"/>
    <col min="10499" max="10499" width="8.125" style="1" hidden="1"/>
    <col min="10500" max="10500" width="9.125" style="1" hidden="1"/>
    <col min="10501" max="10501" width="9.75" style="1" hidden="1"/>
    <col min="10502" max="10502" width="11.125" style="1" hidden="1"/>
    <col min="10503" max="10503" width="10.375" style="1" hidden="1"/>
    <col min="10504" max="10504" width="10.5" style="1" hidden="1"/>
    <col min="10505" max="10753" width="8" style="1" hidden="1"/>
    <col min="10754" max="10754" width="28.125" style="1" hidden="1"/>
    <col min="10755" max="10755" width="8.125" style="1" hidden="1"/>
    <col min="10756" max="10756" width="9.125" style="1" hidden="1"/>
    <col min="10757" max="10757" width="9.75" style="1" hidden="1"/>
    <col min="10758" max="10758" width="11.125" style="1" hidden="1"/>
    <col min="10759" max="10759" width="10.375" style="1" hidden="1"/>
    <col min="10760" max="10760" width="10.5" style="1" hidden="1"/>
    <col min="10761" max="11009" width="8" style="1" hidden="1"/>
    <col min="11010" max="11010" width="28.125" style="1" hidden="1"/>
    <col min="11011" max="11011" width="8.125" style="1" hidden="1"/>
    <col min="11012" max="11012" width="9.125" style="1" hidden="1"/>
    <col min="11013" max="11013" width="9.75" style="1" hidden="1"/>
    <col min="11014" max="11014" width="11.125" style="1" hidden="1"/>
    <col min="11015" max="11015" width="10.375" style="1" hidden="1"/>
    <col min="11016" max="11016" width="10.5" style="1" hidden="1"/>
    <col min="11017" max="11265" width="9" style="1" hidden="1"/>
    <col min="11266" max="11266" width="28.125" style="1" hidden="1"/>
    <col min="11267" max="11267" width="8.125" style="1" hidden="1"/>
    <col min="11268" max="11268" width="9.125" style="1" hidden="1"/>
    <col min="11269" max="11269" width="9.75" style="1" hidden="1"/>
    <col min="11270" max="11270" width="11.125" style="1" hidden="1"/>
    <col min="11271" max="11271" width="10.375" style="1" hidden="1"/>
    <col min="11272" max="11272" width="10.5" style="1" hidden="1"/>
    <col min="11273" max="11521" width="8" style="1" hidden="1"/>
    <col min="11522" max="11522" width="28.125" style="1" hidden="1"/>
    <col min="11523" max="11523" width="8.125" style="1" hidden="1"/>
    <col min="11524" max="11524" width="9.125" style="1" hidden="1"/>
    <col min="11525" max="11525" width="9.75" style="1" hidden="1"/>
    <col min="11526" max="11526" width="11.125" style="1" hidden="1"/>
    <col min="11527" max="11527" width="10.375" style="1" hidden="1"/>
    <col min="11528" max="11528" width="10.5" style="1" hidden="1"/>
    <col min="11529" max="11777" width="8" style="1" hidden="1"/>
    <col min="11778" max="11778" width="28.125" style="1" hidden="1"/>
    <col min="11779" max="11779" width="8.125" style="1" hidden="1"/>
    <col min="11780" max="11780" width="9.125" style="1" hidden="1"/>
    <col min="11781" max="11781" width="9.75" style="1" hidden="1"/>
    <col min="11782" max="11782" width="11.125" style="1" hidden="1"/>
    <col min="11783" max="11783" width="10.375" style="1" hidden="1"/>
    <col min="11784" max="11784" width="10.5" style="1" hidden="1"/>
    <col min="11785" max="12033" width="8" style="1" hidden="1"/>
    <col min="12034" max="12034" width="28.125" style="1" hidden="1"/>
    <col min="12035" max="12035" width="8.125" style="1" hidden="1"/>
    <col min="12036" max="12036" width="9.125" style="1" hidden="1"/>
    <col min="12037" max="12037" width="9.75" style="1" hidden="1"/>
    <col min="12038" max="12038" width="11.125" style="1" hidden="1"/>
    <col min="12039" max="12039" width="10.375" style="1" hidden="1"/>
    <col min="12040" max="12040" width="10.5" style="1" hidden="1"/>
    <col min="12041" max="12289" width="9" style="1" hidden="1"/>
    <col min="12290" max="12290" width="28.125" style="1" hidden="1"/>
    <col min="12291" max="12291" width="8.125" style="1" hidden="1"/>
    <col min="12292" max="12292" width="9.125" style="1" hidden="1"/>
    <col min="12293" max="12293" width="9.75" style="1" hidden="1"/>
    <col min="12294" max="12294" width="11.125" style="1" hidden="1"/>
    <col min="12295" max="12295" width="10.375" style="1" hidden="1"/>
    <col min="12296" max="12296" width="10.5" style="1" hidden="1"/>
    <col min="12297" max="12545" width="8" style="1" hidden="1"/>
    <col min="12546" max="12546" width="28.125" style="1" hidden="1"/>
    <col min="12547" max="12547" width="8.125" style="1" hidden="1"/>
    <col min="12548" max="12548" width="9.125" style="1" hidden="1"/>
    <col min="12549" max="12549" width="9.75" style="1" hidden="1"/>
    <col min="12550" max="12550" width="11.125" style="1" hidden="1"/>
    <col min="12551" max="12551" width="10.375" style="1" hidden="1"/>
    <col min="12552" max="12552" width="10.5" style="1" hidden="1"/>
    <col min="12553" max="12801" width="8" style="1" hidden="1"/>
    <col min="12802" max="12802" width="28.125" style="1" hidden="1"/>
    <col min="12803" max="12803" width="8.125" style="1" hidden="1"/>
    <col min="12804" max="12804" width="9.125" style="1" hidden="1"/>
    <col min="12805" max="12805" width="9.75" style="1" hidden="1"/>
    <col min="12806" max="12806" width="11.125" style="1" hidden="1"/>
    <col min="12807" max="12807" width="10.375" style="1" hidden="1"/>
    <col min="12808" max="12808" width="10.5" style="1" hidden="1"/>
    <col min="12809" max="13057" width="8" style="1" hidden="1"/>
    <col min="13058" max="13058" width="28.125" style="1" hidden="1"/>
    <col min="13059" max="13059" width="8.125" style="1" hidden="1"/>
    <col min="13060" max="13060" width="9.125" style="1" hidden="1"/>
    <col min="13061" max="13061" width="9.75" style="1" hidden="1"/>
    <col min="13062" max="13062" width="11.125" style="1" hidden="1"/>
    <col min="13063" max="13063" width="10.375" style="1" hidden="1"/>
    <col min="13064" max="13064" width="10.5" style="1" hidden="1"/>
    <col min="13065" max="13313" width="9" style="1" hidden="1"/>
    <col min="13314" max="13314" width="28.125" style="1" hidden="1"/>
    <col min="13315" max="13315" width="8.125" style="1" hidden="1"/>
    <col min="13316" max="13316" width="9.125" style="1" hidden="1"/>
    <col min="13317" max="13317" width="9.75" style="1" hidden="1"/>
    <col min="13318" max="13318" width="11.125" style="1" hidden="1"/>
    <col min="13319" max="13319" width="10.375" style="1" hidden="1"/>
    <col min="13320" max="13320" width="10.5" style="1" hidden="1"/>
    <col min="13321" max="13569" width="8" style="1" hidden="1"/>
    <col min="13570" max="13570" width="28.125" style="1" hidden="1"/>
    <col min="13571" max="13571" width="8.125" style="1" hidden="1"/>
    <col min="13572" max="13572" width="9.125" style="1" hidden="1"/>
    <col min="13573" max="13573" width="9.75" style="1" hidden="1"/>
    <col min="13574" max="13574" width="11.125" style="1" hidden="1"/>
    <col min="13575" max="13575" width="10.375" style="1" hidden="1"/>
    <col min="13576" max="13576" width="10.5" style="1" hidden="1"/>
    <col min="13577" max="13825" width="8" style="1" hidden="1"/>
    <col min="13826" max="13826" width="28.125" style="1" hidden="1"/>
    <col min="13827" max="13827" width="8.125" style="1" hidden="1"/>
    <col min="13828" max="13828" width="9.125" style="1" hidden="1"/>
    <col min="13829" max="13829" width="9.75" style="1" hidden="1"/>
    <col min="13830" max="13830" width="11.125" style="1" hidden="1"/>
    <col min="13831" max="13831" width="10.375" style="1" hidden="1"/>
    <col min="13832" max="13832" width="10.5" style="1" hidden="1"/>
    <col min="13833" max="14081" width="8" style="1" hidden="1"/>
    <col min="14082" max="14082" width="28.125" style="1" hidden="1"/>
    <col min="14083" max="14083" width="8.125" style="1" hidden="1"/>
    <col min="14084" max="14084" width="9.125" style="1" hidden="1"/>
    <col min="14085" max="14085" width="9.75" style="1" hidden="1"/>
    <col min="14086" max="14086" width="11.125" style="1" hidden="1"/>
    <col min="14087" max="14087" width="10.375" style="1" hidden="1"/>
    <col min="14088" max="14088" width="10.5" style="1" hidden="1"/>
    <col min="14089" max="14337" width="9" style="1" hidden="1"/>
    <col min="14338" max="14338" width="28.125" style="1" hidden="1"/>
    <col min="14339" max="14339" width="8.125" style="1" hidden="1"/>
    <col min="14340" max="14340" width="9.125" style="1" hidden="1"/>
    <col min="14341" max="14341" width="9.75" style="1" hidden="1"/>
    <col min="14342" max="14342" width="11.125" style="1" hidden="1"/>
    <col min="14343" max="14343" width="10.375" style="1" hidden="1"/>
    <col min="14344" max="14344" width="10.5" style="1" hidden="1"/>
    <col min="14345" max="14593" width="8" style="1" hidden="1"/>
    <col min="14594" max="14594" width="28.125" style="1" hidden="1"/>
    <col min="14595" max="14595" width="8.125" style="1" hidden="1"/>
    <col min="14596" max="14596" width="9.125" style="1" hidden="1"/>
    <col min="14597" max="14597" width="9.75" style="1" hidden="1"/>
    <col min="14598" max="14598" width="11.125" style="1" hidden="1"/>
    <col min="14599" max="14599" width="10.375" style="1" hidden="1"/>
    <col min="14600" max="14600" width="10.5" style="1" hidden="1"/>
    <col min="14601" max="14849" width="8" style="1" hidden="1"/>
    <col min="14850" max="14850" width="28.125" style="1" hidden="1"/>
    <col min="14851" max="14851" width="8.125" style="1" hidden="1"/>
    <col min="14852" max="14852" width="9.125" style="1" hidden="1"/>
    <col min="14853" max="14853" width="9.75" style="1" hidden="1"/>
    <col min="14854" max="14854" width="11.125" style="1" hidden="1"/>
    <col min="14855" max="14855" width="10.375" style="1" hidden="1"/>
    <col min="14856" max="14856" width="10.5" style="1" hidden="1"/>
    <col min="14857" max="15105" width="8" style="1" hidden="1"/>
    <col min="15106" max="15106" width="28.125" style="1" hidden="1"/>
    <col min="15107" max="15107" width="8.125" style="1" hidden="1"/>
    <col min="15108" max="15108" width="9.125" style="1" hidden="1"/>
    <col min="15109" max="15109" width="9.75" style="1" hidden="1"/>
    <col min="15110" max="15110" width="11.125" style="1" hidden="1"/>
    <col min="15111" max="15111" width="10.375" style="1" hidden="1"/>
    <col min="15112" max="15112" width="10.5" style="1" hidden="1"/>
    <col min="15113" max="15361" width="9" style="1" hidden="1"/>
    <col min="15362" max="15362" width="28.125" style="1" hidden="1"/>
    <col min="15363" max="15363" width="8.125" style="1" hidden="1"/>
    <col min="15364" max="15364" width="9.125" style="1" hidden="1"/>
    <col min="15365" max="15365" width="9.75" style="1" hidden="1"/>
    <col min="15366" max="15366" width="11.125" style="1" hidden="1"/>
    <col min="15367" max="15367" width="10.375" style="1" hidden="1"/>
    <col min="15368" max="15368" width="10.5" style="1" hidden="1"/>
    <col min="15369" max="15617" width="8" style="1" hidden="1"/>
    <col min="15618" max="15618" width="28.125" style="1" hidden="1"/>
    <col min="15619" max="15619" width="8.125" style="1" hidden="1"/>
    <col min="15620" max="15620" width="9.125" style="1" hidden="1"/>
    <col min="15621" max="15621" width="9.75" style="1" hidden="1"/>
    <col min="15622" max="15622" width="11.125" style="1" hidden="1"/>
    <col min="15623" max="15623" width="10.375" style="1" hidden="1"/>
    <col min="15624" max="15624" width="10.5" style="1" hidden="1"/>
    <col min="15625" max="15873" width="8" style="1" hidden="1"/>
    <col min="15874" max="15874" width="28.125" style="1" hidden="1"/>
    <col min="15875" max="15875" width="8.125" style="1" hidden="1"/>
    <col min="15876" max="15876" width="9.125" style="1" hidden="1"/>
    <col min="15877" max="15877" width="9.75" style="1" hidden="1"/>
    <col min="15878" max="15878" width="11.125" style="1" hidden="1"/>
    <col min="15879" max="15879" width="10.375" style="1" hidden="1"/>
    <col min="15880" max="15880" width="10.5" style="1" hidden="1"/>
    <col min="15881" max="16129" width="8" style="1" hidden="1"/>
    <col min="16130" max="16130" width="28.125" style="1" hidden="1"/>
    <col min="16131" max="16131" width="8.125" style="1" hidden="1"/>
    <col min="16132" max="16132" width="9.125" style="1" hidden="1"/>
    <col min="16133" max="16133" width="9.75" style="1" hidden="1"/>
    <col min="16134" max="16134" width="11.125" style="1" hidden="1"/>
    <col min="16135" max="16135" width="10.375" style="1" hidden="1"/>
    <col min="16136" max="16136" width="10.5" style="1" hidden="1"/>
    <col min="16137" max="16384" width="9" style="1" hidden="1"/>
  </cols>
  <sheetData>
    <row r="1" spans="2:8" ht="15.95" customHeight="1">
      <c r="B1" s="3"/>
      <c r="C1" s="7"/>
      <c r="E1" s="45" t="s">
        <v>29</v>
      </c>
      <c r="F1" s="156" t="s">
        <v>393</v>
      </c>
      <c r="H1" s="249"/>
    </row>
    <row r="2" spans="2:8" ht="15.95" customHeight="1" thickBot="1">
      <c r="B2" s="3"/>
      <c r="C2" s="2"/>
      <c r="E2" s="2"/>
      <c r="F2" s="4"/>
      <c r="G2" s="4"/>
      <c r="H2" s="4"/>
    </row>
    <row r="3" spans="2:8" ht="20.25" customHeight="1" thickBot="1">
      <c r="B3" s="308" t="s">
        <v>442</v>
      </c>
      <c r="C3" s="309"/>
      <c r="D3" s="309"/>
      <c r="E3" s="309"/>
      <c r="F3" s="310"/>
      <c r="G3" s="4"/>
      <c r="H3" s="4"/>
    </row>
    <row r="4" spans="2:8" ht="15.95" customHeight="1">
      <c r="B4" s="270"/>
      <c r="C4" s="261"/>
      <c r="D4" s="262"/>
      <c r="E4" s="263"/>
      <c r="F4" s="271"/>
      <c r="G4" s="6"/>
      <c r="H4" s="6"/>
    </row>
    <row r="5" spans="2:8" ht="15.95" customHeight="1">
      <c r="B5" s="44"/>
      <c r="C5" s="54" t="s">
        <v>12</v>
      </c>
      <c r="D5" s="54" t="s">
        <v>17</v>
      </c>
      <c r="E5" s="55" t="s">
        <v>474</v>
      </c>
      <c r="F5" s="56" t="s">
        <v>468</v>
      </c>
      <c r="G5" s="9"/>
      <c r="H5" s="9"/>
    </row>
    <row r="6" spans="2:8" ht="15.95" customHeight="1">
      <c r="B6" s="51" t="s">
        <v>467</v>
      </c>
      <c r="C6" s="41"/>
      <c r="D6" s="41"/>
      <c r="E6" s="9"/>
      <c r="F6" s="8"/>
      <c r="G6" s="9"/>
      <c r="H6" s="9"/>
    </row>
    <row r="7" spans="2:8" ht="15.95" customHeight="1">
      <c r="B7" s="11" t="s">
        <v>376</v>
      </c>
      <c r="C7" s="7" t="s">
        <v>366</v>
      </c>
      <c r="D7" s="7">
        <f>Inputs!J5</f>
        <v>3</v>
      </c>
      <c r="E7" s="2">
        <f>Inputs!J6</f>
        <v>100</v>
      </c>
      <c r="F7" s="153">
        <f>D7*E7</f>
        <v>300</v>
      </c>
      <c r="G7" s="2"/>
      <c r="H7" s="2"/>
    </row>
    <row r="8" spans="2:8" ht="15.95" customHeight="1">
      <c r="B8" s="15" t="s">
        <v>374</v>
      </c>
      <c r="C8" s="2" t="s">
        <v>375</v>
      </c>
      <c r="D8" s="7">
        <f>Inputs!J9</f>
        <v>1</v>
      </c>
      <c r="E8" s="2">
        <f>Inputs!J10</f>
        <v>18</v>
      </c>
      <c r="F8" s="153">
        <f t="shared" ref="F8:F9" si="0">D8*E8</f>
        <v>18</v>
      </c>
      <c r="G8" s="2"/>
      <c r="H8" s="2"/>
    </row>
    <row r="9" spans="2:8" ht="15.95" customHeight="1">
      <c r="B9" s="15" t="s">
        <v>370</v>
      </c>
      <c r="C9" s="2"/>
      <c r="D9" s="57"/>
      <c r="E9" s="47"/>
      <c r="F9" s="155">
        <f t="shared" si="0"/>
        <v>0</v>
      </c>
      <c r="G9" s="2"/>
      <c r="H9" s="2"/>
    </row>
    <row r="10" spans="2:8" ht="15.95" customHeight="1">
      <c r="B10" s="43" t="s">
        <v>470</v>
      </c>
      <c r="C10" s="2"/>
      <c r="D10" s="13"/>
      <c r="E10" s="13"/>
      <c r="F10" s="152">
        <f>SUM(F7:F9)</f>
        <v>318</v>
      </c>
      <c r="G10" s="2"/>
      <c r="H10" s="2"/>
    </row>
    <row r="11" spans="2:8" ht="15.95" customHeight="1">
      <c r="B11" s="5"/>
      <c r="C11" s="2"/>
      <c r="D11" s="13"/>
      <c r="E11" s="2"/>
      <c r="F11" s="12"/>
      <c r="G11" s="14"/>
      <c r="H11" s="14"/>
    </row>
    <row r="12" spans="2:8" ht="15.95" customHeight="1">
      <c r="B12" s="52" t="s">
        <v>476</v>
      </c>
      <c r="C12" s="55" t="s">
        <v>32</v>
      </c>
      <c r="D12" s="55" t="s">
        <v>31</v>
      </c>
      <c r="E12" s="55" t="s">
        <v>475</v>
      </c>
      <c r="F12" s="56" t="s">
        <v>468</v>
      </c>
      <c r="G12" s="2"/>
      <c r="H12" s="2"/>
    </row>
    <row r="13" spans="2:8" ht="15.95" customHeight="1">
      <c r="B13" s="15" t="s">
        <v>33</v>
      </c>
      <c r="C13" s="13">
        <v>0</v>
      </c>
      <c r="D13" s="2"/>
      <c r="F13" s="153">
        <v>0</v>
      </c>
      <c r="G13" s="2"/>
      <c r="H13" s="2"/>
    </row>
    <row r="14" spans="2:8" ht="15.95" customHeight="1">
      <c r="B14" s="15" t="s">
        <v>34</v>
      </c>
      <c r="C14" s="2"/>
      <c r="D14" s="13"/>
      <c r="E14" s="2"/>
      <c r="F14" s="153">
        <f>SUM(E15:E18)</f>
        <v>102.86999999999999</v>
      </c>
      <c r="G14" s="2"/>
      <c r="H14" s="2"/>
    </row>
    <row r="15" spans="2:8" ht="15.95" customHeight="1">
      <c r="B15" s="18" t="s">
        <v>35</v>
      </c>
      <c r="C15" s="253">
        <f>Inputs!J19</f>
        <v>60</v>
      </c>
      <c r="D15" s="13">
        <f>Inputs!D30</f>
        <v>0.6</v>
      </c>
      <c r="E15" s="2">
        <f>C15*D15</f>
        <v>36</v>
      </c>
      <c r="F15" s="153"/>
      <c r="G15" s="2"/>
      <c r="H15" s="2"/>
    </row>
    <row r="16" spans="2:8" ht="15.95" customHeight="1">
      <c r="B16" s="18" t="s">
        <v>36</v>
      </c>
      <c r="C16" s="253">
        <f>Inputs!J20</f>
        <v>46</v>
      </c>
      <c r="D16" s="13">
        <f>Inputs!D31</f>
        <v>0.62</v>
      </c>
      <c r="E16" s="2">
        <f t="shared" ref="E16:E18" si="1">C16*D16</f>
        <v>28.52</v>
      </c>
      <c r="F16" s="153"/>
      <c r="G16" s="2"/>
      <c r="H16" s="2"/>
    </row>
    <row r="17" spans="2:8" ht="15.95" customHeight="1">
      <c r="B17" s="18" t="s">
        <v>22</v>
      </c>
      <c r="C17" s="253">
        <f>Inputs!J21</f>
        <v>60</v>
      </c>
      <c r="D17" s="13">
        <f>Inputs!D32</f>
        <v>0.41</v>
      </c>
      <c r="E17" s="2">
        <f t="shared" si="1"/>
        <v>24.599999999999998</v>
      </c>
      <c r="F17" s="153"/>
      <c r="G17" s="2"/>
      <c r="H17" s="2"/>
    </row>
    <row r="18" spans="2:8" ht="15.95" customHeight="1">
      <c r="B18" s="18" t="s">
        <v>37</v>
      </c>
      <c r="C18" s="2">
        <f>Inputs!J22</f>
        <v>0.5</v>
      </c>
      <c r="D18" s="13">
        <f>Inputs!D33</f>
        <v>27.5</v>
      </c>
      <c r="E18" s="2">
        <f t="shared" si="1"/>
        <v>13.75</v>
      </c>
      <c r="F18" s="179"/>
      <c r="G18" s="2"/>
      <c r="H18" s="2"/>
    </row>
    <row r="19" spans="2:8" ht="15.95" customHeight="1">
      <c r="B19" s="15" t="s">
        <v>38</v>
      </c>
      <c r="C19" s="2"/>
      <c r="D19" s="13"/>
      <c r="E19" s="2"/>
      <c r="F19" s="153">
        <f>Inputs!J34</f>
        <v>0</v>
      </c>
      <c r="G19" s="4"/>
      <c r="H19" s="4"/>
    </row>
    <row r="20" spans="2:8" ht="15.95" customHeight="1">
      <c r="B20" s="15" t="s">
        <v>767</v>
      </c>
      <c r="C20" s="2"/>
      <c r="D20" s="13"/>
      <c r="E20" s="2"/>
      <c r="F20" s="180">
        <v>15</v>
      </c>
      <c r="G20" s="2"/>
      <c r="H20" s="2"/>
    </row>
    <row r="21" spans="2:8" ht="15.95" customHeight="1">
      <c r="B21" s="15" t="s">
        <v>39</v>
      </c>
      <c r="C21" s="2"/>
      <c r="D21" s="13"/>
      <c r="E21" s="2"/>
      <c r="F21" s="180">
        <v>0</v>
      </c>
      <c r="G21" s="2"/>
      <c r="H21" s="2"/>
    </row>
    <row r="22" spans="2:8" ht="15.95" customHeight="1">
      <c r="B22" s="15" t="s">
        <v>40</v>
      </c>
      <c r="C22" s="2"/>
      <c r="D22" s="13"/>
      <c r="E22" s="2"/>
      <c r="F22" s="153">
        <f>H59</f>
        <v>31.625</v>
      </c>
      <c r="G22" s="2"/>
      <c r="H22" s="2"/>
    </row>
    <row r="23" spans="2:8" ht="15.95" customHeight="1">
      <c r="B23" s="15" t="s">
        <v>743</v>
      </c>
      <c r="C23" s="2">
        <f>D69</f>
        <v>1.4818573317307693</v>
      </c>
      <c r="D23" s="13">
        <f>Inputs!D29</f>
        <v>4</v>
      </c>
      <c r="E23" s="2"/>
      <c r="F23" s="153">
        <f>C23*D23</f>
        <v>5.9274293269230771</v>
      </c>
      <c r="G23" s="2"/>
      <c r="H23" s="2"/>
    </row>
    <row r="24" spans="2:8" ht="15.95" customHeight="1">
      <c r="B24" s="15" t="s">
        <v>41</v>
      </c>
      <c r="D24" s="13"/>
      <c r="E24" s="2"/>
      <c r="F24" s="153">
        <f>E69-F23-(H51*C69)</f>
        <v>18.055826701396906</v>
      </c>
      <c r="G24" s="2"/>
      <c r="H24" s="2"/>
    </row>
    <row r="25" spans="2:8" ht="15.95" customHeight="1">
      <c r="B25" s="15" t="s">
        <v>42</v>
      </c>
      <c r="C25" s="2">
        <f>C69+Inputs!J23</f>
        <v>0.82284735576923074</v>
      </c>
      <c r="D25" s="13">
        <f>Inputs!D28</f>
        <v>17.309999999999999</v>
      </c>
      <c r="E25" s="2"/>
      <c r="F25" s="153">
        <f>D25*C25</f>
        <v>14.243487728365382</v>
      </c>
      <c r="G25" s="2"/>
      <c r="H25" s="2"/>
    </row>
    <row r="26" spans="2:8" ht="15.95" customHeight="1">
      <c r="B26" s="15" t="s">
        <v>43</v>
      </c>
      <c r="C26" s="2"/>
      <c r="D26" s="13"/>
      <c r="E26" s="2"/>
      <c r="F26" s="180">
        <v>0</v>
      </c>
      <c r="G26" s="2"/>
      <c r="H26" s="2"/>
    </row>
    <row r="27" spans="2:8" ht="15.95" customHeight="1">
      <c r="B27" s="15" t="s">
        <v>24</v>
      </c>
      <c r="C27" s="2">
        <f>SUM(F13:F26)/2</f>
        <v>93.860871878342692</v>
      </c>
      <c r="D27" s="205">
        <f>Inputs!D24</f>
        <v>0.09</v>
      </c>
      <c r="F27" s="155">
        <f>D27*C27</f>
        <v>8.4474784690508429</v>
      </c>
      <c r="G27" s="2"/>
      <c r="H27" s="2"/>
    </row>
    <row r="28" spans="2:8" ht="15.95" customHeight="1">
      <c r="B28" s="43" t="s">
        <v>471</v>
      </c>
      <c r="C28" s="2"/>
      <c r="D28" s="13"/>
      <c r="E28" s="2"/>
      <c r="F28" s="152">
        <f>SUM(F13:F27)</f>
        <v>196.16922222573623</v>
      </c>
      <c r="G28" s="2"/>
      <c r="H28" s="2"/>
    </row>
    <row r="29" spans="2:8" ht="15.95" customHeight="1">
      <c r="B29" s="5"/>
      <c r="C29" s="2"/>
      <c r="D29" s="13"/>
      <c r="E29" s="2"/>
      <c r="F29" s="179"/>
      <c r="G29" s="14"/>
      <c r="H29" s="14"/>
    </row>
    <row r="30" spans="2:8" ht="15.95" customHeight="1">
      <c r="B30" s="52" t="s">
        <v>770</v>
      </c>
      <c r="C30" s="2"/>
      <c r="D30" s="13"/>
      <c r="E30" s="2"/>
      <c r="F30" s="153"/>
      <c r="G30" s="4"/>
      <c r="H30" s="4"/>
    </row>
    <row r="31" spans="2:8" ht="15.95" customHeight="1">
      <c r="B31" s="15" t="s">
        <v>28</v>
      </c>
      <c r="C31" s="4"/>
      <c r="D31" s="13"/>
      <c r="E31" s="2"/>
      <c r="F31" s="153">
        <f>Inputs!J37</f>
        <v>21.66</v>
      </c>
      <c r="G31" s="2"/>
      <c r="H31" s="2"/>
    </row>
    <row r="32" spans="2:8" ht="15.95" customHeight="1">
      <c r="B32" s="15" t="s">
        <v>749</v>
      </c>
      <c r="C32" s="2"/>
      <c r="D32" s="13"/>
      <c r="E32" s="2"/>
      <c r="F32" s="153">
        <f>F69</f>
        <v>21.369974737128739</v>
      </c>
      <c r="G32" s="2"/>
      <c r="H32" s="2"/>
    </row>
    <row r="33" spans="2:8" ht="15.95" customHeight="1">
      <c r="B33" s="15" t="s">
        <v>44</v>
      </c>
      <c r="C33" s="2"/>
      <c r="D33" s="13"/>
      <c r="E33" s="2"/>
      <c r="F33" s="155">
        <f>Inputs!J38</f>
        <v>39.042845117845125</v>
      </c>
      <c r="G33" s="2"/>
      <c r="H33" s="2"/>
    </row>
    <row r="34" spans="2:8" ht="15.95" customHeight="1">
      <c r="B34" s="43" t="s">
        <v>472</v>
      </c>
      <c r="C34" s="2"/>
      <c r="D34" s="13"/>
      <c r="E34" s="2"/>
      <c r="F34" s="152">
        <f>SUM(F31:F33)</f>
        <v>82.072819854973858</v>
      </c>
      <c r="G34" s="2"/>
      <c r="H34" s="2"/>
    </row>
    <row r="35" spans="2:8" ht="15.95" customHeight="1">
      <c r="B35" s="5"/>
      <c r="C35" s="2"/>
      <c r="D35" s="13"/>
      <c r="E35" s="2"/>
      <c r="F35" s="153"/>
      <c r="G35" s="2"/>
      <c r="H35" s="2"/>
    </row>
    <row r="36" spans="2:8" ht="15.95" customHeight="1">
      <c r="B36" s="48" t="s">
        <v>473</v>
      </c>
      <c r="C36" s="10"/>
      <c r="D36" s="19"/>
      <c r="E36" s="19"/>
      <c r="F36" s="154">
        <f>F28+F34</f>
        <v>278.24204208071012</v>
      </c>
      <c r="G36" s="14"/>
      <c r="H36" s="14"/>
    </row>
    <row r="37" spans="2:8" ht="15.95" customHeight="1">
      <c r="B37" s="5"/>
      <c r="C37" s="2"/>
      <c r="D37" s="13"/>
      <c r="E37" s="2"/>
      <c r="F37" s="153"/>
      <c r="G37" s="2"/>
      <c r="H37" s="2"/>
    </row>
    <row r="38" spans="2:8" ht="15.95" customHeight="1">
      <c r="B38" s="42" t="s">
        <v>768</v>
      </c>
      <c r="C38" s="2"/>
      <c r="D38" s="13"/>
      <c r="E38" s="2"/>
      <c r="F38" s="152">
        <f>F10-F28</f>
        <v>121.83077777426377</v>
      </c>
      <c r="G38" s="14"/>
      <c r="H38" s="14"/>
    </row>
    <row r="39" spans="2:8" ht="15.95" customHeight="1">
      <c r="B39" s="42" t="s">
        <v>769</v>
      </c>
      <c r="C39" s="2"/>
      <c r="D39" s="13"/>
      <c r="E39" s="2"/>
      <c r="F39" s="152">
        <f>F10-F36</f>
        <v>39.757957919289879</v>
      </c>
      <c r="G39" s="4"/>
      <c r="H39" s="2"/>
    </row>
    <row r="40" spans="2:8" ht="15.95" customHeight="1" thickBot="1">
      <c r="B40" s="20"/>
      <c r="C40" s="21"/>
      <c r="D40" s="255"/>
      <c r="E40" s="21"/>
      <c r="F40" s="272"/>
      <c r="G40" s="2"/>
      <c r="H40" s="2"/>
    </row>
    <row r="41" spans="2:8" ht="15.95" customHeight="1">
      <c r="B41" s="4"/>
      <c r="C41" s="2"/>
      <c r="D41" s="2"/>
      <c r="E41" s="2"/>
      <c r="F41" s="2"/>
      <c r="G41" s="2"/>
      <c r="H41" s="2"/>
    </row>
    <row r="42" spans="2:8">
      <c r="B42" s="4"/>
      <c r="C42" s="2"/>
      <c r="D42" s="2"/>
      <c r="E42" s="2"/>
      <c r="F42" s="2"/>
      <c r="G42" s="4"/>
      <c r="H42" s="4"/>
    </row>
    <row r="43" spans="2:8">
      <c r="B43" s="273"/>
      <c r="C43" s="50"/>
      <c r="D43" s="50"/>
      <c r="E43" s="50"/>
      <c r="F43" s="50"/>
      <c r="G43" s="50"/>
      <c r="H43" s="50"/>
    </row>
    <row r="44" spans="2:8">
      <c r="B44" s="27" t="s">
        <v>378</v>
      </c>
      <c r="C44" s="28" t="s">
        <v>779</v>
      </c>
      <c r="D44" s="166"/>
      <c r="E44" s="27" t="s">
        <v>386</v>
      </c>
      <c r="F44" s="27"/>
      <c r="G44" s="137"/>
      <c r="H44" s="28" t="s">
        <v>399</v>
      </c>
    </row>
    <row r="45" spans="2:8">
      <c r="B45" s="49" t="s">
        <v>417</v>
      </c>
      <c r="C45" s="49">
        <f>D7</f>
        <v>3</v>
      </c>
      <c r="D45" s="49"/>
      <c r="E45" s="49" t="s">
        <v>420</v>
      </c>
      <c r="F45" s="49"/>
      <c r="G45" s="49"/>
      <c r="H45" s="171">
        <f>E7</f>
        <v>100</v>
      </c>
    </row>
    <row r="46" spans="2:8">
      <c r="B46" s="49" t="s">
        <v>419</v>
      </c>
      <c r="C46" s="49">
        <f>D8</f>
        <v>1</v>
      </c>
      <c r="D46" s="49"/>
      <c r="E46" s="49" t="s">
        <v>415</v>
      </c>
      <c r="F46" s="49"/>
      <c r="G46" s="49"/>
      <c r="H46" s="171">
        <f>E8</f>
        <v>18</v>
      </c>
    </row>
    <row r="47" spans="2:8">
      <c r="B47" s="49" t="s">
        <v>414</v>
      </c>
      <c r="C47" s="167">
        <f>C15</f>
        <v>60</v>
      </c>
      <c r="D47" s="49"/>
      <c r="E47" s="49" t="s">
        <v>410</v>
      </c>
      <c r="F47" s="49"/>
      <c r="G47" s="49"/>
      <c r="H47" s="171">
        <f>D15</f>
        <v>0.6</v>
      </c>
    </row>
    <row r="48" spans="2:8">
      <c r="B48" s="49" t="s">
        <v>381</v>
      </c>
      <c r="C48" s="167">
        <f>C16</f>
        <v>46</v>
      </c>
      <c r="D48" s="49"/>
      <c r="E48" s="49" t="s">
        <v>402</v>
      </c>
      <c r="F48" s="49"/>
      <c r="G48" s="49"/>
      <c r="H48" s="171">
        <f>D16</f>
        <v>0.62</v>
      </c>
    </row>
    <row r="49" spans="2:8">
      <c r="B49" s="49" t="s">
        <v>382</v>
      </c>
      <c r="C49" s="167">
        <f>C17</f>
        <v>60</v>
      </c>
      <c r="D49" s="49"/>
      <c r="E49" s="49" t="s">
        <v>390</v>
      </c>
      <c r="F49" s="49"/>
      <c r="G49" s="49"/>
      <c r="H49" s="171">
        <f>D17</f>
        <v>0.41</v>
      </c>
    </row>
    <row r="50" spans="2:8">
      <c r="B50" s="49" t="s">
        <v>383</v>
      </c>
      <c r="C50" s="168">
        <f>C18</f>
        <v>0.5</v>
      </c>
      <c r="D50" s="49"/>
      <c r="E50" s="49" t="s">
        <v>391</v>
      </c>
      <c r="F50" s="49"/>
      <c r="G50" s="49"/>
      <c r="H50" s="171">
        <f>D18</f>
        <v>27.5</v>
      </c>
    </row>
    <row r="51" spans="2:8">
      <c r="B51" s="49" t="s">
        <v>384</v>
      </c>
      <c r="C51" s="169">
        <f>C25</f>
        <v>0.82284735576923074</v>
      </c>
      <c r="D51" s="49"/>
      <c r="E51" s="49" t="s">
        <v>802</v>
      </c>
      <c r="F51" s="49"/>
      <c r="G51" s="49"/>
      <c r="H51" s="171">
        <f>Inputs!D28</f>
        <v>17.309999999999999</v>
      </c>
    </row>
    <row r="52" spans="2:8">
      <c r="B52" s="49" t="s">
        <v>385</v>
      </c>
      <c r="C52" s="170">
        <f>D27</f>
        <v>0.09</v>
      </c>
      <c r="D52" s="49"/>
      <c r="E52" s="49" t="s">
        <v>392</v>
      </c>
      <c r="F52" s="49"/>
      <c r="G52" s="49"/>
      <c r="H52" s="171">
        <f>Inputs!D29</f>
        <v>4</v>
      </c>
    </row>
    <row r="53" spans="2:8">
      <c r="B53" s="49"/>
      <c r="C53" s="170"/>
      <c r="D53" s="49"/>
      <c r="E53" s="49"/>
      <c r="F53" s="49"/>
      <c r="G53" s="49"/>
      <c r="H53" s="171"/>
    </row>
    <row r="54" spans="2:8">
      <c r="B54" s="49"/>
      <c r="C54" s="49"/>
      <c r="D54" s="49"/>
      <c r="E54" s="49"/>
      <c r="F54" s="49"/>
      <c r="G54" s="49"/>
      <c r="H54" s="49"/>
    </row>
    <row r="55" spans="2:8">
      <c r="B55" s="49" t="s">
        <v>751</v>
      </c>
      <c r="C55" s="160" t="s">
        <v>756</v>
      </c>
      <c r="D55" s="49"/>
      <c r="E55" s="49"/>
      <c r="F55" s="49"/>
      <c r="G55" s="49"/>
      <c r="H55" s="49"/>
    </row>
    <row r="56" spans="2:8">
      <c r="B56" s="312" t="s">
        <v>480</v>
      </c>
      <c r="C56" s="312"/>
      <c r="D56" s="138" t="s">
        <v>698</v>
      </c>
      <c r="E56" s="174" t="s">
        <v>742</v>
      </c>
      <c r="F56" s="137" t="s">
        <v>753</v>
      </c>
      <c r="G56" s="137" t="s">
        <v>754</v>
      </c>
      <c r="H56" s="137" t="s">
        <v>755</v>
      </c>
    </row>
    <row r="57" spans="2:8">
      <c r="B57" s="313" t="str">
        <f>'Custom Hire'!B36</f>
        <v>Apply dry fertilizer on pasture, topdressing</v>
      </c>
      <c r="C57" s="313"/>
      <c r="D57" s="218">
        <f>'Custom Hire'!E36</f>
        <v>1</v>
      </c>
      <c r="E57" s="144">
        <f>'Custom Hire'!C36</f>
        <v>7.25</v>
      </c>
      <c r="F57" s="145" t="str">
        <f>'Custom Hire'!D36</f>
        <v>per acre</v>
      </c>
      <c r="G57" s="145" t="str">
        <f>IF(F57="per acre","",IF(F57="per bale",$D$7*2000/Inputs!$J$25,$D$7))</f>
        <v/>
      </c>
      <c r="H57" s="146">
        <f>E57*MAX(D57,G57)</f>
        <v>7.25</v>
      </c>
    </row>
    <row r="58" spans="2:8">
      <c r="B58" s="312" t="str">
        <f>'Custom Hire'!B37</f>
        <v>Move round (or large square) bales locally</v>
      </c>
      <c r="C58" s="312"/>
      <c r="D58" s="220">
        <f>'Custom Hire'!E37</f>
        <v>0</v>
      </c>
      <c r="E58" s="147">
        <f>'Custom Hire'!C37</f>
        <v>6.5</v>
      </c>
      <c r="F58" s="137" t="str">
        <f>'Custom Hire'!D37</f>
        <v>per bale</v>
      </c>
      <c r="G58" s="274">
        <f>IF(F58="per acre","",IF(F58="per bale",$D$7*2000/Inputs!$J$25,$D$7))</f>
        <v>3.75</v>
      </c>
      <c r="H58" s="147">
        <f>E58*MAX(D58,G58)</f>
        <v>24.375</v>
      </c>
    </row>
    <row r="59" spans="2:8">
      <c r="B59" s="45" t="s">
        <v>468</v>
      </c>
      <c r="C59" s="139"/>
      <c r="D59" s="140"/>
      <c r="E59" s="139"/>
      <c r="F59" s="139"/>
      <c r="G59" s="139"/>
      <c r="H59" s="146">
        <f>SUM(H57:H58)</f>
        <v>31.625</v>
      </c>
    </row>
    <row r="60" spans="2:8">
      <c r="B60" s="49"/>
      <c r="C60" s="49"/>
      <c r="D60" s="49"/>
      <c r="E60" s="49"/>
      <c r="F60" s="49"/>
      <c r="G60" s="49"/>
      <c r="H60" s="49"/>
    </row>
    <row r="61" spans="2:8">
      <c r="B61" s="49" t="s">
        <v>772</v>
      </c>
      <c r="C61" s="160" t="s">
        <v>704</v>
      </c>
      <c r="D61" s="143"/>
      <c r="E61" s="30"/>
      <c r="F61" s="30"/>
      <c r="G61" s="30"/>
      <c r="H61" s="29"/>
    </row>
    <row r="62" spans="2:8">
      <c r="B62" s="25"/>
      <c r="C62" s="26" t="s">
        <v>394</v>
      </c>
      <c r="D62" s="26" t="s">
        <v>395</v>
      </c>
      <c r="E62" s="26" t="s">
        <v>422</v>
      </c>
      <c r="F62" s="26" t="s">
        <v>423</v>
      </c>
      <c r="G62" s="26"/>
      <c r="H62" s="26" t="s">
        <v>424</v>
      </c>
    </row>
    <row r="63" spans="2:8">
      <c r="B63" s="25"/>
      <c r="C63" s="26" t="s">
        <v>425</v>
      </c>
      <c r="D63" s="26" t="s">
        <v>426</v>
      </c>
      <c r="E63" s="26" t="s">
        <v>720</v>
      </c>
      <c r="F63" s="26" t="s">
        <v>433</v>
      </c>
      <c r="G63" s="26" t="s">
        <v>698</v>
      </c>
      <c r="H63" s="26" t="s">
        <v>427</v>
      </c>
    </row>
    <row r="64" spans="2:8">
      <c r="B64" s="27" t="s">
        <v>397</v>
      </c>
      <c r="C64" s="28" t="s">
        <v>398</v>
      </c>
      <c r="D64" s="28" t="s">
        <v>398</v>
      </c>
      <c r="E64" s="28" t="s">
        <v>428</v>
      </c>
      <c r="F64" s="28" t="s">
        <v>428</v>
      </c>
      <c r="G64" s="28" t="s">
        <v>398</v>
      </c>
      <c r="H64" s="28" t="s">
        <v>721</v>
      </c>
    </row>
    <row r="65" spans="2:8">
      <c r="B65" s="161" t="str">
        <f>CONCATENATE(Equipment!B59," - ",Equipment!C59)</f>
        <v>Disk mower, 9 Ft - 105 HP MFWD</v>
      </c>
      <c r="C65" s="130">
        <f>Equipment!E59</f>
        <v>0.18509615384615383</v>
      </c>
      <c r="D65" s="130">
        <f>Equipment!D59</f>
        <v>0.89586538461538467</v>
      </c>
      <c r="E65" s="130">
        <f>Equipment!F59</f>
        <v>8.3941105769230759</v>
      </c>
      <c r="F65" s="130">
        <f>Equipment!G59</f>
        <v>6.4328804555822021</v>
      </c>
      <c r="G65" s="131">
        <f>Equipment!H59</f>
        <v>1</v>
      </c>
      <c r="H65" s="130">
        <f>Equipment!I59</f>
        <v>14.826991032505278</v>
      </c>
    </row>
    <row r="66" spans="2:8" s="22" customFormat="1">
      <c r="B66" s="161" t="str">
        <f>CONCATENATE(Equipment!B60," - ",Equipment!C60)</f>
        <v>Hay rake, 30 Ft Folding - 75 HP TWD</v>
      </c>
      <c r="C66" s="26">
        <f>Equipment!E60</f>
        <v>4.3828125000000002E-2</v>
      </c>
      <c r="D66" s="26">
        <f>Equipment!D60</f>
        <v>0.1559765625</v>
      </c>
      <c r="E66" s="26">
        <f>Equipment!F60</f>
        <v>1.6381674096977312</v>
      </c>
      <c r="F66" s="26">
        <f>Equipment!G60</f>
        <v>1.6794004194562353</v>
      </c>
      <c r="G66" s="132">
        <f>Equipment!H60</f>
        <v>1</v>
      </c>
      <c r="H66" s="26">
        <f>Equipment!I60</f>
        <v>3.3175678291539663</v>
      </c>
    </row>
    <row r="67" spans="2:8">
      <c r="B67" s="161" t="str">
        <f>CONCATENATE(Equipment!B61," - ",Equipment!C61)</f>
        <v>Round baler w/net wrap, 30 Ft - 105 HP MFWD</v>
      </c>
      <c r="C67" s="26">
        <f>Equipment!E61</f>
        <v>9.3923076923076942E-2</v>
      </c>
      <c r="D67" s="26">
        <f>Equipment!D61</f>
        <v>0.43001538461538469</v>
      </c>
      <c r="E67" s="26">
        <f>Equipment!F61</f>
        <v>12.539465770064556</v>
      </c>
      <c r="F67" s="26">
        <f>Equipment!G61</f>
        <v>6.2576938620903029</v>
      </c>
      <c r="G67" s="132">
        <f>Equipment!H61</f>
        <v>1</v>
      </c>
      <c r="H67" s="26">
        <f>Equipment!I61</f>
        <v>18.797159632154859</v>
      </c>
    </row>
    <row r="68" spans="2:8">
      <c r="B68" s="162" t="str">
        <f>Equipment!B52</f>
        <v>Pickup truck</v>
      </c>
      <c r="C68" s="28"/>
      <c r="D68" s="28"/>
      <c r="E68" s="28">
        <f>Equipment!F63</f>
        <v>7</v>
      </c>
      <c r="F68" s="28">
        <f>Equipment!G63</f>
        <v>7</v>
      </c>
      <c r="G68" s="133"/>
      <c r="H68" s="28">
        <f>Equipment!I52</f>
        <v>14</v>
      </c>
    </row>
    <row r="69" spans="2:8">
      <c r="B69" s="26" t="s">
        <v>468</v>
      </c>
      <c r="C69" s="26">
        <f>SUMPRODUCT(C65:C67,$G$65:$G$67)</f>
        <v>0.32284735576923074</v>
      </c>
      <c r="D69" s="26">
        <f>SUMPRODUCT(D65:D67,$G$65:$G$67)</f>
        <v>1.4818573317307693</v>
      </c>
      <c r="E69" s="26">
        <f>SUMPRODUCT(E65:E67,$G$65:$G$67)+E68</f>
        <v>29.571743756685365</v>
      </c>
      <c r="F69" s="26">
        <f>SUMPRODUCT(F65:F67,$G$65:$G$67)+F68</f>
        <v>21.369974737128739</v>
      </c>
      <c r="G69" s="132">
        <f t="shared" ref="G69" si="2">SUM(G65:G67)</f>
        <v>3</v>
      </c>
      <c r="H69" s="26">
        <f>SUM(H65:H68)</f>
        <v>50.941718493814108</v>
      </c>
    </row>
    <row r="70" spans="2:8">
      <c r="B70" s="49" t="s">
        <v>776</v>
      </c>
      <c r="C70" s="49"/>
      <c r="D70" s="49"/>
      <c r="E70" s="49"/>
      <c r="F70" s="49"/>
      <c r="G70" s="49"/>
      <c r="H70" s="139"/>
    </row>
    <row r="71" spans="2:8">
      <c r="B71" s="49" t="s">
        <v>777</v>
      </c>
      <c r="C71" s="49"/>
      <c r="D71" s="49"/>
      <c r="E71" s="49"/>
      <c r="F71" s="49"/>
      <c r="G71" s="49"/>
      <c r="H71" s="169">
        <f>H69+H59</f>
        <v>82.566718493814108</v>
      </c>
    </row>
    <row r="72" spans="2:8">
      <c r="B72" s="49" t="s">
        <v>778</v>
      </c>
      <c r="C72" s="49"/>
      <c r="D72" s="49"/>
      <c r="E72" s="49"/>
      <c r="F72" s="49"/>
      <c r="G72" s="49"/>
      <c r="H72" s="49"/>
    </row>
    <row r="73" spans="2:8">
      <c r="B73" s="49"/>
      <c r="C73" s="49"/>
      <c r="D73" s="49"/>
      <c r="E73" s="49"/>
      <c r="F73" s="49"/>
      <c r="G73" s="49"/>
      <c r="H73" s="49"/>
    </row>
    <row r="74" spans="2:8">
      <c r="B74" s="49"/>
      <c r="C74" s="49"/>
      <c r="D74" s="49"/>
      <c r="E74" s="49"/>
      <c r="F74" s="49"/>
      <c r="G74" s="49"/>
      <c r="H74" s="49"/>
    </row>
    <row r="75" spans="2:8">
      <c r="B75" s="49" t="s">
        <v>725</v>
      </c>
      <c r="C75" s="49"/>
      <c r="D75" s="49"/>
      <c r="E75" s="49"/>
      <c r="F75" s="49"/>
      <c r="G75" s="49"/>
      <c r="H75" s="49"/>
    </row>
    <row r="76" spans="2:8">
      <c r="B76" s="49" t="s">
        <v>726</v>
      </c>
      <c r="C76" s="49"/>
      <c r="D76" s="49"/>
      <c r="E76" s="49"/>
      <c r="F76" s="49"/>
      <c r="G76" s="49"/>
      <c r="H76" s="49"/>
    </row>
    <row r="77" spans="2:8">
      <c r="B77" s="49" t="s">
        <v>727</v>
      </c>
      <c r="C77" s="49"/>
      <c r="D77" s="49"/>
      <c r="E77" s="49"/>
      <c r="F77" s="49"/>
      <c r="G77" s="49"/>
      <c r="H77" s="49"/>
    </row>
    <row r="78" spans="2:8">
      <c r="B78" s="49" t="s">
        <v>728</v>
      </c>
      <c r="C78" s="49"/>
      <c r="D78" s="49"/>
      <c r="E78" s="49"/>
      <c r="F78" s="49"/>
      <c r="G78" s="49"/>
      <c r="H78" s="49"/>
    </row>
    <row r="769" spans="2:3"/>
    <row r="775" spans="2:3" hidden="1">
      <c r="B775" s="1" t="s">
        <v>48</v>
      </c>
    </row>
    <row r="776" spans="2:3" hidden="1">
      <c r="B776" s="1" t="s">
        <v>49</v>
      </c>
      <c r="C776" s="1">
        <v>6</v>
      </c>
    </row>
    <row r="777" spans="2:3" hidden="1">
      <c r="B777" s="1" t="s">
        <v>50</v>
      </c>
      <c r="C777" s="1">
        <v>1</v>
      </c>
    </row>
    <row r="778" spans="2:3" hidden="1">
      <c r="B778" s="1" t="s">
        <v>51</v>
      </c>
      <c r="C778" s="1">
        <v>1</v>
      </c>
    </row>
    <row r="779" spans="2:3" hidden="1">
      <c r="B779" s="1" t="s">
        <v>52</v>
      </c>
      <c r="C779" s="1">
        <v>2</v>
      </c>
    </row>
    <row r="780" spans="2:3" hidden="1">
      <c r="B780" s="1" t="s">
        <v>53</v>
      </c>
      <c r="C780" s="1">
        <v>1</v>
      </c>
    </row>
    <row r="781" spans="2:3" hidden="1">
      <c r="B781" s="1" t="s">
        <v>54</v>
      </c>
      <c r="C781" s="1">
        <v>0</v>
      </c>
    </row>
    <row r="782" spans="2:3" hidden="1">
      <c r="B782" s="1" t="s">
        <v>55</v>
      </c>
      <c r="C782" s="1">
        <v>0</v>
      </c>
    </row>
    <row r="783" spans="2:3" hidden="1">
      <c r="B783" s="1" t="s">
        <v>56</v>
      </c>
      <c r="C783" s="1">
        <v>0</v>
      </c>
    </row>
    <row r="784" spans="2:3" hidden="1">
      <c r="B784" s="1" t="s">
        <v>57</v>
      </c>
      <c r="C784" s="1">
        <v>0</v>
      </c>
    </row>
    <row r="785" spans="2:3" hidden="1">
      <c r="B785" s="1" t="s">
        <v>58</v>
      </c>
      <c r="C785" s="1">
        <v>0</v>
      </c>
    </row>
    <row r="786" spans="2:3" hidden="1">
      <c r="B786" s="1" t="s">
        <v>59</v>
      </c>
      <c r="C786" s="1">
        <v>0</v>
      </c>
    </row>
    <row r="787" spans="2:3" hidden="1">
      <c r="B787" s="1" t="s">
        <v>60</v>
      </c>
      <c r="C787" s="1" t="b">
        <v>1</v>
      </c>
    </row>
    <row r="788" spans="2:3" hidden="1">
      <c r="B788" s="1" t="s">
        <v>61</v>
      </c>
      <c r="C788" s="1">
        <v>0</v>
      </c>
    </row>
    <row r="789" spans="2:3" hidden="1">
      <c r="B789" s="1" t="s">
        <v>62</v>
      </c>
      <c r="C789" s="1" t="b">
        <v>1</v>
      </c>
    </row>
    <row r="790" spans="2:3" hidden="1">
      <c r="B790" s="1" t="s">
        <v>63</v>
      </c>
      <c r="C790" s="1">
        <v>0</v>
      </c>
    </row>
    <row r="791" spans="2:3" hidden="1">
      <c r="B791" s="1" t="s">
        <v>64</v>
      </c>
      <c r="C791" s="1">
        <v>0</v>
      </c>
    </row>
    <row r="792" spans="2:3" hidden="1">
      <c r="B792" s="1" t="s">
        <v>65</v>
      </c>
      <c r="C792" s="1">
        <v>0</v>
      </c>
    </row>
    <row r="793" spans="2:3" hidden="1">
      <c r="B793" s="1" t="s">
        <v>66</v>
      </c>
      <c r="C793" s="1">
        <v>0</v>
      </c>
    </row>
    <row r="794" spans="2:3" hidden="1">
      <c r="B794" s="1" t="s">
        <v>67</v>
      </c>
      <c r="C794" s="1">
        <v>0</v>
      </c>
    </row>
    <row r="795" spans="2:3" hidden="1">
      <c r="B795" s="1" t="s">
        <v>68</v>
      </c>
      <c r="C795" s="1">
        <v>0</v>
      </c>
    </row>
    <row r="796" spans="2:3" hidden="1">
      <c r="B796" s="1" t="s">
        <v>69</v>
      </c>
      <c r="C796" s="1">
        <v>0</v>
      </c>
    </row>
    <row r="797" spans="2:3" hidden="1">
      <c r="B797" s="1" t="s">
        <v>70</v>
      </c>
      <c r="C797" s="1" t="s">
        <v>71</v>
      </c>
    </row>
    <row r="798" spans="2:3" hidden="1">
      <c r="B798" s="1" t="s">
        <v>72</v>
      </c>
      <c r="C798" s="1">
        <v>100</v>
      </c>
    </row>
    <row r="799" spans="2:3" hidden="1">
      <c r="B799" s="1" t="s">
        <v>73</v>
      </c>
      <c r="C799" s="1">
        <v>55</v>
      </c>
    </row>
    <row r="800" spans="2:3" hidden="1">
      <c r="B800" s="1" t="s">
        <v>74</v>
      </c>
      <c r="C800" s="1">
        <v>5.3</v>
      </c>
    </row>
    <row r="801" spans="2:3" hidden="1">
      <c r="B801" s="1" t="s">
        <v>75</v>
      </c>
      <c r="C801" s="1">
        <v>0</v>
      </c>
    </row>
    <row r="802" spans="2:3" hidden="1">
      <c r="B802" s="1" t="s">
        <v>76</v>
      </c>
      <c r="C802" s="1">
        <v>0</v>
      </c>
    </row>
    <row r="803" spans="2:3" hidden="1">
      <c r="B803" s="1" t="s">
        <v>77</v>
      </c>
      <c r="C803" s="1">
        <v>0</v>
      </c>
    </row>
    <row r="804" spans="2:3" hidden="1">
      <c r="B804" s="1" t="s">
        <v>78</v>
      </c>
      <c r="C804" s="1">
        <v>0</v>
      </c>
    </row>
    <row r="805" spans="2:3" hidden="1">
      <c r="B805" s="1" t="s">
        <v>79</v>
      </c>
      <c r="C805" s="1">
        <v>0</v>
      </c>
    </row>
    <row r="806" spans="2:3" hidden="1">
      <c r="B806" s="1" t="s">
        <v>80</v>
      </c>
      <c r="C806" s="1">
        <v>0</v>
      </c>
    </row>
    <row r="807" spans="2:3" hidden="1">
      <c r="B807" s="1" t="s">
        <v>81</v>
      </c>
      <c r="C807" s="1">
        <v>0</v>
      </c>
    </row>
    <row r="808" spans="2:3" hidden="1">
      <c r="B808" s="1" t="s">
        <v>82</v>
      </c>
      <c r="C808" s="1">
        <v>18</v>
      </c>
    </row>
    <row r="809" spans="2:3" hidden="1">
      <c r="B809" s="1" t="s">
        <v>83</v>
      </c>
      <c r="C809" s="1">
        <v>0</v>
      </c>
    </row>
    <row r="810" spans="2:3" hidden="1">
      <c r="B810" s="1" t="s">
        <v>84</v>
      </c>
      <c r="C810" s="1">
        <v>0</v>
      </c>
    </row>
    <row r="811" spans="2:3" hidden="1">
      <c r="B811" s="1" t="s">
        <v>85</v>
      </c>
      <c r="C811" s="1">
        <v>0</v>
      </c>
    </row>
    <row r="812" spans="2:3" hidden="1">
      <c r="B812" s="1" t="s">
        <v>86</v>
      </c>
      <c r="C812" s="1">
        <v>0</v>
      </c>
    </row>
    <row r="813" spans="2:3" hidden="1">
      <c r="B813" s="1" t="s">
        <v>87</v>
      </c>
      <c r="C813" s="1">
        <v>0</v>
      </c>
    </row>
    <row r="814" spans="2:3" hidden="1">
      <c r="B814" s="1" t="s">
        <v>88</v>
      </c>
      <c r="C814" s="1">
        <v>100</v>
      </c>
    </row>
    <row r="815" spans="2:3" hidden="1">
      <c r="B815" s="1" t="s">
        <v>89</v>
      </c>
      <c r="C815" s="1">
        <v>0</v>
      </c>
    </row>
    <row r="816" spans="2:3" hidden="1">
      <c r="B816" s="1" t="s">
        <v>90</v>
      </c>
      <c r="C816" s="1">
        <v>0</v>
      </c>
    </row>
    <row r="817" spans="2:3" hidden="1">
      <c r="B817" s="1" t="s">
        <v>91</v>
      </c>
      <c r="C817" s="1">
        <v>0</v>
      </c>
    </row>
    <row r="818" spans="2:3" hidden="1">
      <c r="B818" s="1" t="s">
        <v>92</v>
      </c>
      <c r="C818" s="1">
        <v>75</v>
      </c>
    </row>
    <row r="819" spans="2:3" hidden="1">
      <c r="B819" s="1" t="s">
        <v>93</v>
      </c>
      <c r="C819" s="1">
        <v>0</v>
      </c>
    </row>
    <row r="820" spans="2:3" hidden="1">
      <c r="B820" s="1" t="s">
        <v>94</v>
      </c>
      <c r="C820" s="1">
        <v>35</v>
      </c>
    </row>
    <row r="821" spans="2:3" hidden="1">
      <c r="B821" s="1" t="s">
        <v>95</v>
      </c>
      <c r="C821" s="1">
        <v>20</v>
      </c>
    </row>
    <row r="822" spans="2:3" hidden="1">
      <c r="B822" s="1" t="s">
        <v>96</v>
      </c>
      <c r="C822" s="1">
        <v>0.5</v>
      </c>
    </row>
    <row r="823" spans="2:3" hidden="1">
      <c r="B823" s="1" t="s">
        <v>97</v>
      </c>
      <c r="C823" s="1">
        <v>10</v>
      </c>
    </row>
    <row r="824" spans="2:3" hidden="1">
      <c r="B824" s="1" t="s">
        <v>98</v>
      </c>
      <c r="C824" s="1">
        <v>0</v>
      </c>
    </row>
    <row r="825" spans="2:3" hidden="1">
      <c r="B825" s="1" t="s">
        <v>99</v>
      </c>
      <c r="C825" s="1">
        <v>0</v>
      </c>
    </row>
    <row r="826" spans="2:3" hidden="1">
      <c r="B826" s="1" t="s">
        <v>100</v>
      </c>
      <c r="C826" s="1">
        <v>0.53</v>
      </c>
    </row>
    <row r="827" spans="2:3" hidden="1">
      <c r="B827" s="1" t="s">
        <v>101</v>
      </c>
      <c r="C827" s="1">
        <v>0</v>
      </c>
    </row>
    <row r="828" spans="2:3" hidden="1">
      <c r="B828" s="1" t="s">
        <v>102</v>
      </c>
      <c r="C828" s="1">
        <v>0.49</v>
      </c>
    </row>
    <row r="829" spans="2:3" hidden="1">
      <c r="B829" s="1" t="s">
        <v>103</v>
      </c>
      <c r="C829" s="1">
        <v>0.4</v>
      </c>
    </row>
    <row r="830" spans="2:3" hidden="1">
      <c r="B830" s="1" t="s">
        <v>104</v>
      </c>
      <c r="C830" s="1">
        <v>15</v>
      </c>
    </row>
    <row r="831" spans="2:3" hidden="1">
      <c r="B831" s="1" t="s">
        <v>105</v>
      </c>
      <c r="C831" s="1">
        <v>0.55000000000000004</v>
      </c>
    </row>
    <row r="832" spans="2:3" hidden="1">
      <c r="B832" s="1" t="s">
        <v>106</v>
      </c>
      <c r="C832" s="1">
        <v>0</v>
      </c>
    </row>
    <row r="833" spans="2:3" hidden="1">
      <c r="B833" s="1" t="s">
        <v>107</v>
      </c>
      <c r="C833" s="1">
        <v>0</v>
      </c>
    </row>
    <row r="834" spans="2:3" hidden="1">
      <c r="B834" s="1" t="s">
        <v>108</v>
      </c>
      <c r="C834" s="1">
        <v>0</v>
      </c>
    </row>
    <row r="835" spans="2:3" hidden="1">
      <c r="B835" s="1" t="s">
        <v>109</v>
      </c>
      <c r="C835" s="1">
        <v>0</v>
      </c>
    </row>
    <row r="836" spans="2:3" hidden="1">
      <c r="B836" s="1" t="s">
        <v>110</v>
      </c>
      <c r="C836" s="1">
        <v>1</v>
      </c>
    </row>
    <row r="837" spans="2:3" hidden="1">
      <c r="B837" s="1" t="s">
        <v>111</v>
      </c>
      <c r="C837" s="1">
        <v>0</v>
      </c>
    </row>
    <row r="838" spans="2:3" hidden="1">
      <c r="B838" s="1" t="s">
        <v>112</v>
      </c>
      <c r="C838" s="1">
        <v>0</v>
      </c>
    </row>
    <row r="839" spans="2:3" hidden="1">
      <c r="B839" s="1" t="s">
        <v>113</v>
      </c>
      <c r="C839" s="1">
        <v>0</v>
      </c>
    </row>
    <row r="840" spans="2:3" hidden="1">
      <c r="B840" s="1" t="s">
        <v>114</v>
      </c>
      <c r="C840" s="1">
        <v>0</v>
      </c>
    </row>
    <row r="841" spans="2:3" hidden="1">
      <c r="B841" s="1" t="s">
        <v>115</v>
      </c>
      <c r="C841" s="1">
        <v>0</v>
      </c>
    </row>
    <row r="842" spans="2:3" hidden="1">
      <c r="B842" s="1" t="s">
        <v>116</v>
      </c>
      <c r="C842" s="1">
        <v>0</v>
      </c>
    </row>
    <row r="843" spans="2:3" hidden="1">
      <c r="B843" s="1" t="s">
        <v>117</v>
      </c>
      <c r="C843" s="1">
        <v>0</v>
      </c>
    </row>
    <row r="844" spans="2:3" hidden="1">
      <c r="B844" s="1" t="s">
        <v>118</v>
      </c>
      <c r="C844" s="1">
        <v>19.38</v>
      </c>
    </row>
    <row r="845" spans="2:3" hidden="1">
      <c r="B845" s="1" t="s">
        <v>119</v>
      </c>
      <c r="C845" s="1">
        <v>0</v>
      </c>
    </row>
    <row r="846" spans="2:3" hidden="1">
      <c r="B846" s="1" t="s">
        <v>120</v>
      </c>
      <c r="C846" s="1">
        <v>0</v>
      </c>
    </row>
    <row r="847" spans="2:3" hidden="1">
      <c r="B847" s="1" t="s">
        <v>121</v>
      </c>
      <c r="C847" s="1">
        <v>0</v>
      </c>
    </row>
    <row r="848" spans="2:3" hidden="1">
      <c r="B848" s="1" t="s">
        <v>122</v>
      </c>
      <c r="C848" s="1">
        <v>0</v>
      </c>
    </row>
    <row r="849" spans="2:3" hidden="1">
      <c r="B849" s="1" t="s">
        <v>123</v>
      </c>
      <c r="C849" s="1">
        <v>0</v>
      </c>
    </row>
    <row r="850" spans="2:3" hidden="1">
      <c r="B850" s="1" t="s">
        <v>124</v>
      </c>
      <c r="C850" s="1">
        <v>0</v>
      </c>
    </row>
    <row r="851" spans="2:3" hidden="1">
      <c r="B851" s="1" t="s">
        <v>125</v>
      </c>
      <c r="C851" s="1">
        <v>0</v>
      </c>
    </row>
    <row r="852" spans="2:3" hidden="1">
      <c r="B852" s="1" t="s">
        <v>126</v>
      </c>
      <c r="C852" s="1">
        <v>0</v>
      </c>
    </row>
    <row r="853" spans="2:3" hidden="1">
      <c r="B853" s="1" t="s">
        <v>127</v>
      </c>
      <c r="C853" s="1">
        <v>0</v>
      </c>
    </row>
    <row r="854" spans="2:3" hidden="1">
      <c r="B854" s="1" t="s">
        <v>128</v>
      </c>
      <c r="C854" s="1">
        <v>0</v>
      </c>
    </row>
    <row r="855" spans="2:3" hidden="1">
      <c r="B855" s="1" t="s">
        <v>129</v>
      </c>
      <c r="C855" s="1">
        <v>0</v>
      </c>
    </row>
    <row r="856" spans="2:3" hidden="1">
      <c r="B856" s="1" t="s">
        <v>130</v>
      </c>
      <c r="C856" s="1">
        <v>0</v>
      </c>
    </row>
    <row r="857" spans="2:3" hidden="1">
      <c r="B857" s="1" t="s">
        <v>131</v>
      </c>
      <c r="C857" s="1">
        <v>0</v>
      </c>
    </row>
    <row r="858" spans="2:3" hidden="1">
      <c r="B858" s="1" t="s">
        <v>132</v>
      </c>
      <c r="C858" s="1">
        <v>0</v>
      </c>
    </row>
    <row r="859" spans="2:3" hidden="1">
      <c r="B859" s="1" t="s">
        <v>133</v>
      </c>
      <c r="C859" s="1">
        <v>0.5</v>
      </c>
    </row>
    <row r="860" spans="2:3" hidden="1">
      <c r="B860" s="1" t="s">
        <v>134</v>
      </c>
      <c r="C860" s="1">
        <v>13.5</v>
      </c>
    </row>
    <row r="861" spans="2:3" hidden="1">
      <c r="B861" s="1" t="s">
        <v>135</v>
      </c>
      <c r="C861" s="1">
        <v>18</v>
      </c>
    </row>
    <row r="862" spans="2:3" hidden="1">
      <c r="B862" s="1" t="s">
        <v>136</v>
      </c>
      <c r="C862" s="1">
        <v>0</v>
      </c>
    </row>
    <row r="863" spans="2:3" hidden="1">
      <c r="B863" s="1" t="s">
        <v>137</v>
      </c>
      <c r="C863" s="1">
        <v>0</v>
      </c>
    </row>
    <row r="864" spans="2:3" hidden="1">
      <c r="B864" s="1" t="s">
        <v>138</v>
      </c>
      <c r="C864" s="1">
        <v>0</v>
      </c>
    </row>
    <row r="865" spans="2:3" hidden="1">
      <c r="B865" s="1" t="s">
        <v>139</v>
      </c>
      <c r="C865" s="1">
        <v>3500</v>
      </c>
    </row>
    <row r="866" spans="2:3" hidden="1">
      <c r="B866" s="1" t="s">
        <v>140</v>
      </c>
      <c r="C866" s="1">
        <v>4</v>
      </c>
    </row>
    <row r="867" spans="2:3" hidden="1">
      <c r="B867" s="1" t="s">
        <v>141</v>
      </c>
      <c r="C867" s="1">
        <v>0</v>
      </c>
    </row>
    <row r="868" spans="2:3" hidden="1">
      <c r="B868" s="1" t="s">
        <v>142</v>
      </c>
      <c r="C868" s="1">
        <v>0</v>
      </c>
    </row>
    <row r="869" spans="2:3" hidden="1">
      <c r="B869" s="1" t="s">
        <v>143</v>
      </c>
      <c r="C869" s="1">
        <v>0</v>
      </c>
    </row>
    <row r="870" spans="2:3" hidden="1">
      <c r="B870" s="1" t="s">
        <v>144</v>
      </c>
      <c r="C870" s="1">
        <v>6</v>
      </c>
    </row>
    <row r="871" spans="2:3" hidden="1">
      <c r="B871" s="1" t="s">
        <v>145</v>
      </c>
      <c r="C871" s="1">
        <v>3.65</v>
      </c>
    </row>
    <row r="872" spans="2:3" hidden="1">
      <c r="B872" s="1" t="s">
        <v>146</v>
      </c>
      <c r="C872" s="1">
        <v>3.38</v>
      </c>
    </row>
    <row r="873" spans="2:3" hidden="1">
      <c r="B873" s="1" t="s">
        <v>147</v>
      </c>
      <c r="C873" s="1">
        <v>1</v>
      </c>
    </row>
    <row r="874" spans="2:3" hidden="1">
      <c r="B874" s="1" t="s">
        <v>148</v>
      </c>
      <c r="C874" s="1">
        <v>0</v>
      </c>
    </row>
    <row r="875" spans="2:3" hidden="1">
      <c r="B875" s="1" t="s">
        <v>149</v>
      </c>
      <c r="C875" s="1">
        <v>13</v>
      </c>
    </row>
    <row r="876" spans="2:3" hidden="1">
      <c r="B876" s="1" t="s">
        <v>150</v>
      </c>
      <c r="C876" s="1">
        <v>0</v>
      </c>
    </row>
    <row r="877" spans="2:3" hidden="1">
      <c r="B877" s="1" t="s">
        <v>151</v>
      </c>
      <c r="C877" s="1">
        <v>0</v>
      </c>
    </row>
    <row r="878" spans="2:3" hidden="1">
      <c r="B878" s="1" t="s">
        <v>152</v>
      </c>
      <c r="C878" s="1">
        <v>0</v>
      </c>
    </row>
    <row r="879" spans="2:3" hidden="1">
      <c r="B879" s="1" t="s">
        <v>153</v>
      </c>
      <c r="C879" s="1">
        <v>0</v>
      </c>
    </row>
    <row r="880" spans="2:3" hidden="1">
      <c r="B880" s="1" t="s">
        <v>154</v>
      </c>
      <c r="C880" s="1">
        <v>0</v>
      </c>
    </row>
    <row r="881" spans="2:3" hidden="1">
      <c r="B881" s="1" t="s">
        <v>155</v>
      </c>
      <c r="C881" s="1">
        <v>0</v>
      </c>
    </row>
    <row r="882" spans="2:3" hidden="1">
      <c r="B882" s="1" t="s">
        <v>156</v>
      </c>
      <c r="C882" s="1">
        <v>5</v>
      </c>
    </row>
    <row r="883" spans="2:3" hidden="1">
      <c r="B883" s="1" t="s">
        <v>157</v>
      </c>
      <c r="C883" s="1">
        <v>0</v>
      </c>
    </row>
    <row r="884" spans="2:3" hidden="1">
      <c r="B884" s="1" t="s">
        <v>158</v>
      </c>
      <c r="C884" s="1">
        <v>0</v>
      </c>
    </row>
    <row r="885" spans="2:3" hidden="1">
      <c r="B885" s="1" t="s">
        <v>159</v>
      </c>
      <c r="C885" s="1">
        <v>0</v>
      </c>
    </row>
    <row r="886" spans="2:3" hidden="1">
      <c r="B886" s="1" t="s">
        <v>160</v>
      </c>
      <c r="C886" s="1">
        <v>6800</v>
      </c>
    </row>
    <row r="887" spans="2:3" hidden="1">
      <c r="B887" s="1" t="s">
        <v>161</v>
      </c>
      <c r="C887" s="1">
        <v>0</v>
      </c>
    </row>
    <row r="888" spans="2:3" hidden="1">
      <c r="B888" s="1" t="s">
        <v>162</v>
      </c>
      <c r="C888" s="1">
        <v>0</v>
      </c>
    </row>
    <row r="889" spans="2:3" hidden="1">
      <c r="B889" s="1" t="s">
        <v>163</v>
      </c>
      <c r="C889" s="1">
        <v>8500</v>
      </c>
    </row>
    <row r="890" spans="2:3" hidden="1">
      <c r="B890" s="1" t="s">
        <v>164</v>
      </c>
      <c r="C890" s="1">
        <v>5</v>
      </c>
    </row>
    <row r="891" spans="2:3" hidden="1">
      <c r="B891" s="1" t="s">
        <v>165</v>
      </c>
      <c r="C891" s="1">
        <v>15000</v>
      </c>
    </row>
    <row r="892" spans="2:3" hidden="1">
      <c r="B892" s="1" t="s">
        <v>166</v>
      </c>
      <c r="C892" s="1">
        <v>5</v>
      </c>
    </row>
    <row r="893" spans="2:3" hidden="1">
      <c r="B893" s="1" t="s">
        <v>167</v>
      </c>
      <c r="C893" s="1">
        <v>0</v>
      </c>
    </row>
    <row r="894" spans="2:3" hidden="1">
      <c r="B894" s="1" t="s">
        <v>168</v>
      </c>
      <c r="C894" s="1">
        <v>0</v>
      </c>
    </row>
    <row r="895" spans="2:3" hidden="1">
      <c r="B895" s="1" t="s">
        <v>169</v>
      </c>
      <c r="C895" s="1">
        <v>0</v>
      </c>
    </row>
    <row r="896" spans="2:3" hidden="1">
      <c r="B896" s="1" t="s">
        <v>170</v>
      </c>
      <c r="C896" s="1">
        <v>0</v>
      </c>
    </row>
    <row r="897" spans="2:3" hidden="1">
      <c r="B897" s="1" t="s">
        <v>171</v>
      </c>
      <c r="C897" s="1">
        <v>0</v>
      </c>
    </row>
    <row r="898" spans="2:3" hidden="1">
      <c r="B898" s="1" t="s">
        <v>172</v>
      </c>
      <c r="C898" s="1">
        <v>0</v>
      </c>
    </row>
    <row r="899" spans="2:3" hidden="1">
      <c r="B899" s="1" t="s">
        <v>173</v>
      </c>
      <c r="C899" s="1">
        <v>0</v>
      </c>
    </row>
    <row r="900" spans="2:3" hidden="1">
      <c r="B900" s="1" t="s">
        <v>174</v>
      </c>
      <c r="C900" s="1">
        <v>0</v>
      </c>
    </row>
    <row r="901" spans="2:3" hidden="1">
      <c r="B901" s="1" t="s">
        <v>175</v>
      </c>
      <c r="C901" s="1">
        <v>0</v>
      </c>
    </row>
    <row r="902" spans="2:3" hidden="1">
      <c r="B902" s="1" t="s">
        <v>176</v>
      </c>
      <c r="C902" s="1">
        <v>0</v>
      </c>
    </row>
    <row r="903" spans="2:3" hidden="1">
      <c r="B903" s="1" t="s">
        <v>177</v>
      </c>
      <c r="C903" s="1">
        <v>0</v>
      </c>
    </row>
    <row r="904" spans="2:3" hidden="1">
      <c r="B904" s="1" t="s">
        <v>178</v>
      </c>
      <c r="C904" s="1">
        <v>6</v>
      </c>
    </row>
    <row r="905" spans="2:3" hidden="1">
      <c r="B905" s="1" t="s">
        <v>179</v>
      </c>
      <c r="C905" s="1">
        <v>0</v>
      </c>
    </row>
    <row r="906" spans="2:3" hidden="1">
      <c r="B906" s="1" t="s">
        <v>180</v>
      </c>
      <c r="C906" s="1">
        <v>0</v>
      </c>
    </row>
    <row r="907" spans="2:3" hidden="1">
      <c r="B907" s="1" t="s">
        <v>181</v>
      </c>
      <c r="C907" s="1">
        <v>0</v>
      </c>
    </row>
    <row r="908" spans="2:3" hidden="1">
      <c r="B908" s="1" t="s">
        <v>182</v>
      </c>
      <c r="C908" s="1">
        <v>0</v>
      </c>
    </row>
    <row r="909" spans="2:3" hidden="1">
      <c r="B909" s="1" t="s">
        <v>183</v>
      </c>
      <c r="C909" s="1">
        <v>0</v>
      </c>
    </row>
    <row r="910" spans="2:3" hidden="1">
      <c r="B910" s="1" t="s">
        <v>184</v>
      </c>
      <c r="C910" s="1">
        <v>0</v>
      </c>
    </row>
    <row r="911" spans="2:3" hidden="1">
      <c r="B911" s="1" t="s">
        <v>185</v>
      </c>
      <c r="C911" s="1">
        <v>0</v>
      </c>
    </row>
    <row r="912" spans="2:3" hidden="1">
      <c r="B912" s="1" t="s">
        <v>186</v>
      </c>
      <c r="C912" s="1">
        <v>0</v>
      </c>
    </row>
    <row r="913" spans="2:3" hidden="1">
      <c r="B913" s="1" t="s">
        <v>187</v>
      </c>
      <c r="C913" s="1">
        <v>0</v>
      </c>
    </row>
    <row r="914" spans="2:3" hidden="1">
      <c r="B914" s="1" t="s">
        <v>188</v>
      </c>
      <c r="C914" s="1">
        <v>0</v>
      </c>
    </row>
    <row r="915" spans="2:3" hidden="1">
      <c r="B915" s="1" t="s">
        <v>189</v>
      </c>
      <c r="C915" s="1">
        <v>0</v>
      </c>
    </row>
    <row r="916" spans="2:3" hidden="1">
      <c r="B916" s="1" t="s">
        <v>190</v>
      </c>
      <c r="C916" s="1">
        <v>0</v>
      </c>
    </row>
    <row r="917" spans="2:3" hidden="1">
      <c r="B917" s="1" t="s">
        <v>191</v>
      </c>
      <c r="C917" s="1">
        <v>2</v>
      </c>
    </row>
    <row r="918" spans="2:3" hidden="1">
      <c r="B918" s="1" t="s">
        <v>192</v>
      </c>
      <c r="C918" s="1">
        <v>0</v>
      </c>
    </row>
    <row r="919" spans="2:3" hidden="1">
      <c r="B919" s="1" t="s">
        <v>193</v>
      </c>
      <c r="C919" s="1">
        <v>0</v>
      </c>
    </row>
    <row r="920" spans="2:3" hidden="1">
      <c r="B920" s="1" t="s">
        <v>194</v>
      </c>
      <c r="C920" s="1">
        <v>0</v>
      </c>
    </row>
    <row r="921" spans="2:3" hidden="1">
      <c r="B921" s="1" t="s">
        <v>195</v>
      </c>
      <c r="C921" s="1">
        <v>0</v>
      </c>
    </row>
    <row r="922" spans="2:3" hidden="1">
      <c r="B922" s="1" t="s">
        <v>196</v>
      </c>
      <c r="C922" s="1">
        <v>0</v>
      </c>
    </row>
    <row r="923" spans="2:3" hidden="1">
      <c r="B923" s="1" t="s">
        <v>197</v>
      </c>
      <c r="C923" s="1">
        <v>0</v>
      </c>
    </row>
    <row r="924" spans="2:3" hidden="1">
      <c r="B924" s="1" t="s">
        <v>198</v>
      </c>
      <c r="C924" s="1">
        <v>0</v>
      </c>
    </row>
    <row r="925" spans="2:3" hidden="1">
      <c r="B925" s="1" t="s">
        <v>199</v>
      </c>
      <c r="C925" s="1" t="s">
        <v>200</v>
      </c>
    </row>
    <row r="926" spans="2:3" hidden="1">
      <c r="B926" s="1" t="s">
        <v>201</v>
      </c>
      <c r="C926" s="1" t="s">
        <v>202</v>
      </c>
    </row>
    <row r="927" spans="2:3" hidden="1">
      <c r="B927" s="1" t="s">
        <v>203</v>
      </c>
      <c r="C927" s="1" t="s">
        <v>204</v>
      </c>
    </row>
    <row r="928" spans="2:3" hidden="1">
      <c r="B928" s="1" t="s">
        <v>205</v>
      </c>
      <c r="C928" s="1" t="s">
        <v>206</v>
      </c>
    </row>
    <row r="929" spans="2:3" hidden="1">
      <c r="B929" s="1" t="s">
        <v>207</v>
      </c>
      <c r="C929" s="1" t="s">
        <v>208</v>
      </c>
    </row>
    <row r="930" spans="2:3" hidden="1">
      <c r="B930" s="1" t="s">
        <v>209</v>
      </c>
      <c r="C930" s="1" t="s">
        <v>210</v>
      </c>
    </row>
    <row r="931" spans="2:3" hidden="1">
      <c r="B931" s="1" t="s">
        <v>211</v>
      </c>
      <c r="C931" s="1" t="s">
        <v>212</v>
      </c>
    </row>
    <row r="932" spans="2:3" hidden="1">
      <c r="B932" s="1" t="s">
        <v>213</v>
      </c>
      <c r="C932" s="1" t="s">
        <v>214</v>
      </c>
    </row>
    <row r="933" spans="2:3" hidden="1">
      <c r="B933" s="1" t="s">
        <v>215</v>
      </c>
      <c r="C933" s="1" t="s">
        <v>216</v>
      </c>
    </row>
    <row r="934" spans="2:3" hidden="1">
      <c r="B934" s="1" t="s">
        <v>217</v>
      </c>
      <c r="C934" s="1" t="s">
        <v>218</v>
      </c>
    </row>
    <row r="935" spans="2:3" hidden="1">
      <c r="B935" s="1" t="s">
        <v>219</v>
      </c>
      <c r="C935" s="1" t="s">
        <v>220</v>
      </c>
    </row>
    <row r="936" spans="2:3" hidden="1">
      <c r="B936" s="1" t="s">
        <v>221</v>
      </c>
      <c r="C936" s="1" t="s">
        <v>222</v>
      </c>
    </row>
    <row r="937" spans="2:3" hidden="1">
      <c r="B937" s="1" t="s">
        <v>223</v>
      </c>
      <c r="C937" s="1" t="s">
        <v>220</v>
      </c>
    </row>
    <row r="938" spans="2:3" hidden="1">
      <c r="B938" s="1" t="s">
        <v>224</v>
      </c>
      <c r="C938" s="1" t="s">
        <v>212</v>
      </c>
    </row>
    <row r="939" spans="2:3" hidden="1">
      <c r="B939" s="1" t="s">
        <v>225</v>
      </c>
      <c r="C939" s="1" t="s">
        <v>226</v>
      </c>
    </row>
    <row r="940" spans="2:3" hidden="1">
      <c r="B940" s="1" t="s">
        <v>227</v>
      </c>
      <c r="C940" s="1" t="s">
        <v>220</v>
      </c>
    </row>
    <row r="941" spans="2:3" hidden="1">
      <c r="B941" s="1" t="s">
        <v>228</v>
      </c>
      <c r="C941" s="1" t="s">
        <v>220</v>
      </c>
    </row>
    <row r="942" spans="2:3" hidden="1">
      <c r="B942" s="1" t="s">
        <v>229</v>
      </c>
      <c r="C942" s="1" t="s">
        <v>208</v>
      </c>
    </row>
    <row r="943" spans="2:3" hidden="1">
      <c r="B943" s="1" t="s">
        <v>230</v>
      </c>
      <c r="C943" s="1" t="s">
        <v>231</v>
      </c>
    </row>
    <row r="944" spans="2:3" hidden="1">
      <c r="B944" s="1" t="s">
        <v>232</v>
      </c>
      <c r="C944" s="1" t="s">
        <v>204</v>
      </c>
    </row>
    <row r="945" spans="2:3" hidden="1">
      <c r="B945" s="1" t="s">
        <v>233</v>
      </c>
      <c r="C945" s="1" t="s">
        <v>231</v>
      </c>
    </row>
    <row r="946" spans="2:3" hidden="1">
      <c r="B946" s="1" t="s">
        <v>234</v>
      </c>
      <c r="C946" s="1" t="s">
        <v>235</v>
      </c>
    </row>
    <row r="947" spans="2:3" hidden="1">
      <c r="B947" s="1" t="s">
        <v>236</v>
      </c>
      <c r="C947" s="1" t="s">
        <v>237</v>
      </c>
    </row>
    <row r="948" spans="2:3" hidden="1">
      <c r="B948" s="1" t="s">
        <v>238</v>
      </c>
      <c r="C948" s="1" t="s">
        <v>239</v>
      </c>
    </row>
    <row r="949" spans="2:3" hidden="1">
      <c r="B949" s="1" t="s">
        <v>240</v>
      </c>
      <c r="C949" s="1" t="s">
        <v>208</v>
      </c>
    </row>
    <row r="950" spans="2:3" hidden="1">
      <c r="B950" s="1" t="s">
        <v>241</v>
      </c>
      <c r="C950" s="1" t="s">
        <v>208</v>
      </c>
    </row>
    <row r="951" spans="2:3" hidden="1">
      <c r="B951" s="1" t="s">
        <v>242</v>
      </c>
      <c r="C951" s="1" t="s">
        <v>243</v>
      </c>
    </row>
    <row r="952" spans="2:3" hidden="1">
      <c r="B952" s="1" t="s">
        <v>244</v>
      </c>
      <c r="C952" s="1" t="s">
        <v>245</v>
      </c>
    </row>
    <row r="953" spans="2:3" hidden="1">
      <c r="B953" s="1" t="s">
        <v>246</v>
      </c>
      <c r="C953" s="1">
        <v>0</v>
      </c>
    </row>
    <row r="954" spans="2:3" hidden="1">
      <c r="B954" s="1" t="s">
        <v>247</v>
      </c>
      <c r="C954" s="1">
        <v>0</v>
      </c>
    </row>
    <row r="955" spans="2:3" hidden="1">
      <c r="B955" s="1" t="s">
        <v>248</v>
      </c>
      <c r="C955" s="1">
        <v>0</v>
      </c>
    </row>
    <row r="956" spans="2:3" hidden="1">
      <c r="B956" s="1" t="s">
        <v>249</v>
      </c>
      <c r="C956" s="1">
        <v>0</v>
      </c>
    </row>
    <row r="957" spans="2:3" hidden="1">
      <c r="B957" s="1" t="s">
        <v>250</v>
      </c>
      <c r="C957" s="1">
        <v>0</v>
      </c>
    </row>
    <row r="958" spans="2:3" hidden="1">
      <c r="B958" s="1" t="s">
        <v>251</v>
      </c>
      <c r="C958" s="1">
        <v>0</v>
      </c>
    </row>
    <row r="959" spans="2:3" hidden="1">
      <c r="B959" s="1" t="s">
        <v>252</v>
      </c>
      <c r="C959" s="1">
        <v>0</v>
      </c>
    </row>
    <row r="960" spans="2:3" hidden="1">
      <c r="B960" s="1" t="s">
        <v>253</v>
      </c>
      <c r="C960" s="1">
        <v>0</v>
      </c>
    </row>
    <row r="961" spans="2:3" hidden="1">
      <c r="B961" s="1" t="s">
        <v>254</v>
      </c>
      <c r="C961" s="1">
        <v>0</v>
      </c>
    </row>
    <row r="962" spans="2:3" hidden="1">
      <c r="B962" s="1" t="s">
        <v>255</v>
      </c>
      <c r="C962" s="1">
        <v>0</v>
      </c>
    </row>
    <row r="963" spans="2:3" hidden="1">
      <c r="B963" s="1" t="s">
        <v>256</v>
      </c>
      <c r="C963" s="1">
        <v>0</v>
      </c>
    </row>
    <row r="964" spans="2:3" hidden="1">
      <c r="B964" s="1" t="s">
        <v>257</v>
      </c>
      <c r="C964" s="1">
        <v>0</v>
      </c>
    </row>
    <row r="965" spans="2:3" hidden="1">
      <c r="B965" s="1" t="s">
        <v>258</v>
      </c>
      <c r="C965" s="1">
        <v>0</v>
      </c>
    </row>
    <row r="966" spans="2:3" hidden="1">
      <c r="B966" s="1" t="s">
        <v>259</v>
      </c>
      <c r="C966" s="1">
        <v>0</v>
      </c>
    </row>
    <row r="967" spans="2:3" hidden="1">
      <c r="B967" s="1" t="s">
        <v>260</v>
      </c>
      <c r="C967" s="1" t="s">
        <v>261</v>
      </c>
    </row>
    <row r="968" spans="2:3" hidden="1">
      <c r="B968" s="1" t="s">
        <v>262</v>
      </c>
      <c r="C968" s="1">
        <v>0</v>
      </c>
    </row>
    <row r="969" spans="2:3" hidden="1">
      <c r="B969" s="1" t="s">
        <v>263</v>
      </c>
      <c r="C969" s="1">
        <v>0</v>
      </c>
    </row>
    <row r="970" spans="2:3" hidden="1">
      <c r="B970" s="1" t="s">
        <v>264</v>
      </c>
      <c r="C970" s="1">
        <v>0</v>
      </c>
    </row>
    <row r="971" spans="2:3" hidden="1">
      <c r="B971" s="1" t="s">
        <v>265</v>
      </c>
      <c r="C971" s="1">
        <v>0</v>
      </c>
    </row>
    <row r="972" spans="2:3" hidden="1">
      <c r="B972" s="1" t="s">
        <v>266</v>
      </c>
      <c r="C972" s="1" t="s">
        <v>267</v>
      </c>
    </row>
    <row r="973" spans="2:3" hidden="1">
      <c r="B973" s="1" t="s">
        <v>268</v>
      </c>
      <c r="C973" s="1">
        <v>0</v>
      </c>
    </row>
    <row r="974" spans="2:3" hidden="1">
      <c r="B974" s="1" t="s">
        <v>269</v>
      </c>
      <c r="C974" s="1">
        <v>0</v>
      </c>
    </row>
    <row r="975" spans="2:3" hidden="1">
      <c r="B975" s="1" t="s">
        <v>270</v>
      </c>
      <c r="C975" s="1">
        <v>0</v>
      </c>
    </row>
    <row r="976" spans="2:3" hidden="1">
      <c r="B976" s="1" t="s">
        <v>271</v>
      </c>
      <c r="C976" s="1">
        <v>0</v>
      </c>
    </row>
    <row r="977" spans="2:3" hidden="1">
      <c r="B977" s="1" t="s">
        <v>272</v>
      </c>
      <c r="C977" s="1">
        <v>0</v>
      </c>
    </row>
    <row r="978" spans="2:3" hidden="1">
      <c r="B978" s="1" t="s">
        <v>273</v>
      </c>
      <c r="C978" s="1">
        <v>0</v>
      </c>
    </row>
    <row r="979" spans="2:3" hidden="1">
      <c r="B979" s="1" t="s">
        <v>274</v>
      </c>
      <c r="C979" s="1">
        <v>0</v>
      </c>
    </row>
    <row r="980" spans="2:3" hidden="1">
      <c r="B980" s="1" t="s">
        <v>275</v>
      </c>
      <c r="C980" s="1">
        <v>0</v>
      </c>
    </row>
    <row r="981" spans="2:3" hidden="1">
      <c r="B981" s="1" t="s">
        <v>276</v>
      </c>
      <c r="C981" s="1">
        <v>0</v>
      </c>
    </row>
    <row r="982" spans="2:3" hidden="1">
      <c r="B982" s="1" t="s">
        <v>277</v>
      </c>
      <c r="C982" s="1">
        <v>0</v>
      </c>
    </row>
    <row r="983" spans="2:3" hidden="1">
      <c r="B983" s="1" t="s">
        <v>278</v>
      </c>
      <c r="C983" s="1">
        <v>0</v>
      </c>
    </row>
    <row r="984" spans="2:3" hidden="1">
      <c r="B984" s="1" t="s">
        <v>279</v>
      </c>
      <c r="C984" s="1">
        <v>0</v>
      </c>
    </row>
    <row r="985" spans="2:3" hidden="1">
      <c r="B985" s="1" t="s">
        <v>280</v>
      </c>
      <c r="C985" s="1">
        <v>0</v>
      </c>
    </row>
    <row r="986" spans="2:3" hidden="1">
      <c r="B986" s="1" t="s">
        <v>281</v>
      </c>
      <c r="C986" s="1">
        <v>0</v>
      </c>
    </row>
    <row r="987" spans="2:3" hidden="1">
      <c r="B987" s="1" t="s">
        <v>282</v>
      </c>
      <c r="C987" s="1">
        <v>0</v>
      </c>
    </row>
    <row r="988" spans="2:3" hidden="1">
      <c r="B988" s="1" t="s">
        <v>283</v>
      </c>
      <c r="C988" s="1">
        <v>0</v>
      </c>
    </row>
    <row r="989" spans="2:3" hidden="1">
      <c r="B989" s="1" t="s">
        <v>284</v>
      </c>
      <c r="C989" s="1" t="s">
        <v>261</v>
      </c>
    </row>
    <row r="990" spans="2:3" hidden="1">
      <c r="B990" s="1" t="s">
        <v>285</v>
      </c>
      <c r="C990" s="1" t="s">
        <v>267</v>
      </c>
    </row>
    <row r="991" spans="2:3" hidden="1">
      <c r="B991" s="1" t="s">
        <v>286</v>
      </c>
      <c r="C991" s="1">
        <v>0</v>
      </c>
    </row>
    <row r="992" spans="2:3" hidden="1">
      <c r="B992" s="1" t="s">
        <v>287</v>
      </c>
      <c r="C992" s="1">
        <v>0</v>
      </c>
    </row>
    <row r="993" spans="2:3" hidden="1">
      <c r="B993" s="1" t="s">
        <v>288</v>
      </c>
      <c r="C993" s="1">
        <v>0</v>
      </c>
    </row>
    <row r="994" spans="2:3" hidden="1">
      <c r="B994" s="1" t="s">
        <v>289</v>
      </c>
      <c r="C994" s="1">
        <v>0</v>
      </c>
    </row>
    <row r="995" spans="2:3" hidden="1">
      <c r="B995" s="1" t="s">
        <v>290</v>
      </c>
      <c r="C995" s="1">
        <v>0</v>
      </c>
    </row>
    <row r="996" spans="2:3" hidden="1">
      <c r="B996" s="1" t="s">
        <v>291</v>
      </c>
      <c r="C996" s="1">
        <v>0</v>
      </c>
    </row>
    <row r="997" spans="2:3" hidden="1">
      <c r="B997" s="1" t="s">
        <v>292</v>
      </c>
      <c r="C997" s="1">
        <v>0</v>
      </c>
    </row>
    <row r="998" spans="2:3" hidden="1">
      <c r="B998" s="1" t="s">
        <v>293</v>
      </c>
      <c r="C998" s="1">
        <v>0</v>
      </c>
    </row>
    <row r="999" spans="2:3" hidden="1">
      <c r="B999" s="1" t="s">
        <v>294</v>
      </c>
      <c r="C999" s="1">
        <v>0</v>
      </c>
    </row>
    <row r="1000" spans="2:3" hidden="1">
      <c r="B1000" s="1" t="s">
        <v>295</v>
      </c>
      <c r="C1000" s="1">
        <v>0</v>
      </c>
    </row>
    <row r="1001" spans="2:3" hidden="1">
      <c r="B1001" s="1" t="s">
        <v>296</v>
      </c>
      <c r="C1001" s="1">
        <v>0</v>
      </c>
    </row>
    <row r="1002" spans="2:3" hidden="1">
      <c r="B1002" s="1" t="s">
        <v>297</v>
      </c>
      <c r="C1002" s="1">
        <v>0</v>
      </c>
    </row>
    <row r="1003" spans="2:3" hidden="1">
      <c r="B1003" s="1" t="s">
        <v>298</v>
      </c>
      <c r="C1003" s="1">
        <v>0</v>
      </c>
    </row>
    <row r="1004" spans="2:3" hidden="1">
      <c r="B1004" s="1" t="s">
        <v>299</v>
      </c>
      <c r="C1004" s="1">
        <v>0</v>
      </c>
    </row>
    <row r="1005" spans="2:3" hidden="1">
      <c r="B1005" s="1" t="s">
        <v>300</v>
      </c>
      <c r="C1005" s="1">
        <v>1</v>
      </c>
    </row>
    <row r="1006" spans="2:3" hidden="1">
      <c r="B1006" s="1" t="s">
        <v>301</v>
      </c>
      <c r="C1006" s="1">
        <v>0</v>
      </c>
    </row>
    <row r="1007" spans="2:3" hidden="1">
      <c r="B1007" s="1" t="s">
        <v>302</v>
      </c>
      <c r="C1007" s="1">
        <v>0</v>
      </c>
    </row>
    <row r="1008" spans="2:3" hidden="1">
      <c r="B1008" s="1" t="s">
        <v>303</v>
      </c>
      <c r="C1008" s="1">
        <v>0</v>
      </c>
    </row>
    <row r="1009" spans="2:3" hidden="1">
      <c r="B1009" s="1" t="s">
        <v>304</v>
      </c>
      <c r="C1009" s="1">
        <v>0</v>
      </c>
    </row>
    <row r="1010" spans="2:3" hidden="1">
      <c r="B1010" s="1" t="s">
        <v>305</v>
      </c>
      <c r="C1010" s="1">
        <v>1</v>
      </c>
    </row>
    <row r="1011" spans="2:3" hidden="1">
      <c r="B1011" s="1" t="s">
        <v>306</v>
      </c>
      <c r="C1011" s="1">
        <v>0</v>
      </c>
    </row>
    <row r="1012" spans="2:3" hidden="1">
      <c r="B1012" s="1" t="s">
        <v>307</v>
      </c>
      <c r="C1012" s="1">
        <v>0</v>
      </c>
    </row>
    <row r="1013" spans="2:3" hidden="1">
      <c r="B1013" s="1" t="s">
        <v>308</v>
      </c>
      <c r="C1013" s="1">
        <v>0</v>
      </c>
    </row>
    <row r="1014" spans="2:3" hidden="1">
      <c r="B1014" s="1" t="s">
        <v>309</v>
      </c>
      <c r="C1014" s="1">
        <v>0</v>
      </c>
    </row>
    <row r="1015" spans="2:3" hidden="1">
      <c r="B1015" s="1" t="s">
        <v>310</v>
      </c>
      <c r="C1015" s="1">
        <v>0</v>
      </c>
    </row>
    <row r="1016" spans="2:3" hidden="1">
      <c r="B1016" s="1" t="s">
        <v>311</v>
      </c>
      <c r="C1016" s="1">
        <v>0</v>
      </c>
    </row>
    <row r="1017" spans="2:3" hidden="1">
      <c r="B1017" s="1" t="s">
        <v>312</v>
      </c>
      <c r="C1017" s="1">
        <v>0</v>
      </c>
    </row>
    <row r="1018" spans="2:3" hidden="1">
      <c r="B1018" s="1" t="s">
        <v>313</v>
      </c>
      <c r="C1018" s="1">
        <v>0</v>
      </c>
    </row>
    <row r="1019" spans="2:3" hidden="1">
      <c r="B1019" s="1" t="s">
        <v>314</v>
      </c>
      <c r="C1019" s="1">
        <v>0</v>
      </c>
    </row>
    <row r="1020" spans="2:3" hidden="1">
      <c r="B1020" s="1" t="s">
        <v>315</v>
      </c>
      <c r="C1020" s="1">
        <v>0</v>
      </c>
    </row>
    <row r="1021" spans="2:3" hidden="1">
      <c r="B1021" s="1" t="s">
        <v>316</v>
      </c>
      <c r="C1021" s="1">
        <v>0</v>
      </c>
    </row>
    <row r="1022" spans="2:3" hidden="1">
      <c r="B1022" s="1" t="s">
        <v>317</v>
      </c>
      <c r="C1022" s="1">
        <v>0</v>
      </c>
    </row>
    <row r="1023" spans="2:3" hidden="1">
      <c r="B1023" s="1" t="s">
        <v>318</v>
      </c>
      <c r="C1023" s="1">
        <v>0</v>
      </c>
    </row>
    <row r="1024" spans="2:3" hidden="1">
      <c r="B1024" s="1" t="s">
        <v>319</v>
      </c>
      <c r="C1024" s="1">
        <v>0</v>
      </c>
    </row>
    <row r="1025" spans="2:3" hidden="1">
      <c r="B1025" s="1" t="s">
        <v>320</v>
      </c>
      <c r="C1025" s="1">
        <v>0</v>
      </c>
    </row>
    <row r="1026" spans="2:3" hidden="1">
      <c r="B1026" s="1" t="s">
        <v>321</v>
      </c>
      <c r="C1026" s="1">
        <v>0</v>
      </c>
    </row>
    <row r="1027" spans="2:3" hidden="1">
      <c r="B1027" s="1" t="s">
        <v>322</v>
      </c>
      <c r="C1027" s="1">
        <v>0</v>
      </c>
    </row>
    <row r="1028" spans="2:3" hidden="1">
      <c r="B1028" s="1" t="s">
        <v>323</v>
      </c>
      <c r="C1028" s="1">
        <v>1</v>
      </c>
    </row>
    <row r="1029" spans="2:3" hidden="1">
      <c r="B1029" s="1" t="s">
        <v>324</v>
      </c>
      <c r="C1029" s="1">
        <v>0</v>
      </c>
    </row>
    <row r="1030" spans="2:3" hidden="1">
      <c r="B1030" s="1" t="s">
        <v>325</v>
      </c>
      <c r="C1030" s="1">
        <v>0</v>
      </c>
    </row>
    <row r="1031" spans="2:3" hidden="1">
      <c r="B1031" s="1" t="s">
        <v>326</v>
      </c>
      <c r="C1031" s="1">
        <v>0</v>
      </c>
    </row>
    <row r="1032" spans="2:3" hidden="1">
      <c r="B1032" s="1" t="s">
        <v>327</v>
      </c>
      <c r="C1032" s="1">
        <v>0</v>
      </c>
    </row>
    <row r="1033" spans="2:3" hidden="1">
      <c r="B1033" s="1" t="s">
        <v>328</v>
      </c>
      <c r="C1033" s="1">
        <v>0</v>
      </c>
    </row>
    <row r="1034" spans="2:3" hidden="1">
      <c r="B1034" s="1" t="s">
        <v>329</v>
      </c>
      <c r="C1034" s="1">
        <v>0</v>
      </c>
    </row>
    <row r="1035" spans="2:3" hidden="1">
      <c r="B1035" s="1" t="s">
        <v>330</v>
      </c>
      <c r="C1035" s="1">
        <v>0</v>
      </c>
    </row>
    <row r="1036" spans="2:3" hidden="1">
      <c r="B1036" s="1" t="s">
        <v>331</v>
      </c>
      <c r="C1036" s="1">
        <v>0</v>
      </c>
    </row>
    <row r="1037" spans="2:3" hidden="1">
      <c r="B1037" s="1" t="s">
        <v>332</v>
      </c>
      <c r="C1037" s="1">
        <v>0</v>
      </c>
    </row>
    <row r="1038" spans="2:3" hidden="1">
      <c r="B1038" s="1" t="s">
        <v>333</v>
      </c>
      <c r="C1038" s="1">
        <v>0</v>
      </c>
    </row>
    <row r="1039" spans="2:3" hidden="1">
      <c r="B1039" s="1" t="s">
        <v>334</v>
      </c>
      <c r="C1039" s="1">
        <v>0</v>
      </c>
    </row>
    <row r="1040" spans="2:3" hidden="1">
      <c r="B1040" s="1" t="s">
        <v>335</v>
      </c>
      <c r="C1040" s="1">
        <v>0</v>
      </c>
    </row>
    <row r="1041" spans="2:3" hidden="1">
      <c r="B1041" s="1" t="s">
        <v>336</v>
      </c>
      <c r="C1041" s="1">
        <v>0</v>
      </c>
    </row>
    <row r="1042" spans="2:3" hidden="1">
      <c r="B1042" s="1" t="s">
        <v>337</v>
      </c>
      <c r="C1042" s="1">
        <v>0</v>
      </c>
    </row>
    <row r="1043" spans="2:3" hidden="1">
      <c r="B1043" s="1" t="s">
        <v>338</v>
      </c>
      <c r="C1043" s="1">
        <v>0</v>
      </c>
    </row>
    <row r="1044" spans="2:3" hidden="1">
      <c r="B1044" s="1" t="s">
        <v>339</v>
      </c>
      <c r="C1044" s="1">
        <v>0</v>
      </c>
    </row>
    <row r="1045" spans="2:3" hidden="1">
      <c r="B1045" s="1" t="s">
        <v>340</v>
      </c>
      <c r="C1045" s="1">
        <v>0</v>
      </c>
    </row>
    <row r="1046" spans="2:3" hidden="1">
      <c r="B1046" s="1" t="s">
        <v>341</v>
      </c>
      <c r="C1046" s="1">
        <v>0</v>
      </c>
    </row>
    <row r="1047" spans="2:3" hidden="1">
      <c r="B1047" s="1" t="s">
        <v>342</v>
      </c>
      <c r="C1047" s="1">
        <v>0</v>
      </c>
    </row>
    <row r="1048" spans="2:3" hidden="1">
      <c r="B1048" s="1" t="s">
        <v>343</v>
      </c>
      <c r="C1048" s="1">
        <v>0</v>
      </c>
    </row>
    <row r="1049" spans="2:3" hidden="1">
      <c r="B1049" s="1" t="s">
        <v>344</v>
      </c>
      <c r="C1049" s="1">
        <v>0</v>
      </c>
    </row>
    <row r="1050" spans="2:3" hidden="1">
      <c r="B1050" s="1" t="s">
        <v>345</v>
      </c>
      <c r="C1050" s="1">
        <v>0</v>
      </c>
    </row>
    <row r="1051" spans="2:3" hidden="1">
      <c r="B1051" s="1" t="s">
        <v>346</v>
      </c>
      <c r="C1051" s="1">
        <v>0</v>
      </c>
    </row>
    <row r="1052" spans="2:3" hidden="1">
      <c r="B1052" s="1" t="s">
        <v>347</v>
      </c>
      <c r="C1052" s="1">
        <v>0</v>
      </c>
    </row>
    <row r="1053" spans="2:3" hidden="1">
      <c r="B1053" s="1" t="s">
        <v>348</v>
      </c>
      <c r="C1053" s="1">
        <v>0</v>
      </c>
    </row>
    <row r="1054" spans="2:3" hidden="1">
      <c r="B1054" s="1" t="s">
        <v>349</v>
      </c>
      <c r="C1054" s="1">
        <v>0</v>
      </c>
    </row>
    <row r="1055" spans="2:3" hidden="1">
      <c r="B1055" s="1" t="s">
        <v>350</v>
      </c>
      <c r="C1055" s="1">
        <v>0</v>
      </c>
    </row>
    <row r="1056" spans="2:3" hidden="1">
      <c r="B1056" s="1" t="s">
        <v>351</v>
      </c>
      <c r="C1056" s="1">
        <v>0</v>
      </c>
    </row>
    <row r="1057" spans="2:3" hidden="1">
      <c r="B1057" s="1" t="s">
        <v>352</v>
      </c>
      <c r="C1057" s="1">
        <v>0</v>
      </c>
    </row>
    <row r="1058" spans="2:3" hidden="1">
      <c r="B1058" s="1" t="s">
        <v>353</v>
      </c>
      <c r="C1058" s="1">
        <v>0</v>
      </c>
    </row>
    <row r="1059" spans="2:3" hidden="1">
      <c r="B1059" s="1" t="s">
        <v>354</v>
      </c>
      <c r="C1059" s="1">
        <v>0</v>
      </c>
    </row>
    <row r="1060" spans="2:3" hidden="1">
      <c r="B1060" s="1" t="s">
        <v>355</v>
      </c>
      <c r="C1060" s="1">
        <v>0</v>
      </c>
    </row>
    <row r="1061" spans="2:3" hidden="1">
      <c r="B1061" s="1" t="s">
        <v>356</v>
      </c>
      <c r="C1061" s="1">
        <v>0</v>
      </c>
    </row>
    <row r="1062" spans="2:3" hidden="1">
      <c r="B1062" s="1" t="s">
        <v>357</v>
      </c>
      <c r="C1062" s="1">
        <v>0</v>
      </c>
    </row>
    <row r="1063" spans="2:3" hidden="1">
      <c r="B1063" s="1" t="s">
        <v>358</v>
      </c>
      <c r="C1063" s="1">
        <v>0</v>
      </c>
    </row>
    <row r="1064" spans="2:3" hidden="1">
      <c r="B1064" s="1" t="s">
        <v>359</v>
      </c>
      <c r="C1064" s="1">
        <v>0</v>
      </c>
    </row>
    <row r="1065" spans="2:3" hidden="1">
      <c r="B1065" s="1" t="s">
        <v>360</v>
      </c>
      <c r="C1065" s="1">
        <v>0</v>
      </c>
    </row>
    <row r="1066" spans="2:3" hidden="1">
      <c r="B1066" s="1" t="s">
        <v>361</v>
      </c>
      <c r="C1066" s="1">
        <v>0</v>
      </c>
    </row>
    <row r="1067" spans="2:3" hidden="1">
      <c r="B1067" s="1" t="s">
        <v>362</v>
      </c>
      <c r="C1067" s="1">
        <v>0</v>
      </c>
    </row>
    <row r="1068" spans="2:3" hidden="1">
      <c r="B1068" s="1" t="s">
        <v>363</v>
      </c>
      <c r="C1068" s="1">
        <v>0</v>
      </c>
    </row>
    <row r="1069" spans="2:3" hidden="1">
      <c r="B1069" s="1" t="s">
        <v>364</v>
      </c>
      <c r="C1069" s="1">
        <v>0</v>
      </c>
    </row>
    <row r="1070" spans="2:3" hidden="1">
      <c r="B1070" s="1" t="s">
        <v>365</v>
      </c>
      <c r="C1070" s="1">
        <v>0</v>
      </c>
    </row>
  </sheetData>
  <sheetProtection sheet="1" objects="1" scenarios="1" selectLockedCells="1"/>
  <protectedRanges>
    <protectedRange sqref="F1 D9:E9 F20:F21 F26" name="Grey edit cells"/>
  </protectedRanges>
  <mergeCells count="4">
    <mergeCell ref="B3:F3"/>
    <mergeCell ref="B56:C56"/>
    <mergeCell ref="B57:C57"/>
    <mergeCell ref="B58:C58"/>
  </mergeCells>
  <conditionalFormatting sqref="B65:B67">
    <cfRule type="expression" dxfId="9" priority="4" stopIfTrue="1">
      <formula>MID($A62,1,4)="Rent"</formula>
    </cfRule>
  </conditionalFormatting>
  <conditionalFormatting sqref="B68:B69">
    <cfRule type="expression" dxfId="8" priority="1" stopIfTrue="1">
      <formula>MID($A68,1,4)="Rent"</formula>
    </cfRule>
  </conditionalFormatting>
  <conditionalFormatting sqref="C12:D12">
    <cfRule type="expression" dxfId="7" priority="7">
      <formula>$F$1="no"</formula>
    </cfRule>
  </conditionalFormatting>
  <conditionalFormatting sqref="C13:D22 C26:D27">
    <cfRule type="expression" dxfId="6" priority="33">
      <formula>$F$1="no"</formula>
    </cfRule>
  </conditionalFormatting>
  <conditionalFormatting sqref="C23:D23 D24 C25:D25">
    <cfRule type="expression" dxfId="5" priority="2">
      <formula>$F$1="No"</formula>
    </cfRule>
  </conditionalFormatting>
  <dataValidations count="1">
    <dataValidation type="list" allowBlank="1" showInputMessage="1" showErrorMessage="1" sqref="F1" xr:uid="{9F5BB59E-86F5-4ADC-A3A2-24392A23B84F}">
      <formula1>"Yes,No"</formula1>
    </dataValidation>
  </dataValidations>
  <pageMargins left="0.7" right="0.7" top="0.75" bottom="0.75" header="0.3" footer="0.3"/>
  <pageSetup scale="85" orientation="portrait" r:id="rId1"/>
  <headerFooter>
    <oddFooter>&amp;C&amp;"Verdana,Regular"&amp;8The Crop Budget Generator is a product of the Food and Agricultural Policy Research Institute at the University of Missouri
www.fapri.missouri.edu</oddFooter>
  </headerFooter>
  <ignoredErrors>
    <ignoredError sqref="F22:F23 F25"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FD2AD-8551-4397-82D5-30266F8E3FB0}">
  <dimension ref="A1:WVP82"/>
  <sheetViews>
    <sheetView workbookViewId="0">
      <selection activeCell="F1" sqref="F1"/>
    </sheetView>
  </sheetViews>
  <sheetFormatPr defaultColWidth="0" defaultRowHeight="16.5" zeroHeight="1"/>
  <cols>
    <col min="1" max="1" width="2.625" style="1" customWidth="1"/>
    <col min="2" max="2" width="30.625" style="1" customWidth="1"/>
    <col min="3" max="4" width="9.625" style="1" customWidth="1"/>
    <col min="5" max="6" width="14.375" style="1" customWidth="1"/>
    <col min="7" max="7" width="11.75" style="1" customWidth="1"/>
    <col min="8" max="8" width="11.875" style="1" customWidth="1"/>
    <col min="9" max="9" width="9" style="1" hidden="1"/>
    <col min="10" max="257" width="8" style="1" hidden="1"/>
    <col min="258" max="258" width="28.125" style="1" hidden="1"/>
    <col min="259" max="259" width="8.125" style="1" hidden="1"/>
    <col min="260" max="260" width="9.125" style="1" hidden="1"/>
    <col min="261" max="261" width="9.75" style="1" hidden="1"/>
    <col min="262" max="262" width="11.125" style="1" hidden="1"/>
    <col min="263" max="263" width="10.375" style="1" hidden="1"/>
    <col min="264" max="264" width="10.5" style="1" hidden="1"/>
    <col min="265" max="513" width="8" style="1" hidden="1"/>
    <col min="514" max="514" width="28.125" style="1" hidden="1"/>
    <col min="515" max="515" width="8.125" style="1" hidden="1"/>
    <col min="516" max="516" width="9.125" style="1" hidden="1"/>
    <col min="517" max="517" width="9.75" style="1" hidden="1"/>
    <col min="518" max="518" width="11.125" style="1" hidden="1"/>
    <col min="519" max="519" width="10.375" style="1" hidden="1"/>
    <col min="520" max="520" width="10.5" style="1" hidden="1"/>
    <col min="521" max="769" width="8" style="1" hidden="1"/>
    <col min="770" max="770" width="28.125" style="1" hidden="1"/>
    <col min="771" max="771" width="8.125" style="1" hidden="1"/>
    <col min="772" max="772" width="9.125" style="1" hidden="1"/>
    <col min="773" max="773" width="9.75" style="1" hidden="1"/>
    <col min="774" max="774" width="11.125" style="1" hidden="1"/>
    <col min="775" max="775" width="10.375" style="1" hidden="1"/>
    <col min="776" max="776" width="10.5" style="1" hidden="1"/>
    <col min="777" max="1025" width="9" style="1" hidden="1"/>
    <col min="1026" max="1026" width="28.125" style="1" hidden="1"/>
    <col min="1027" max="1027" width="8.125" style="1" hidden="1"/>
    <col min="1028" max="1028" width="9.125" style="1" hidden="1"/>
    <col min="1029" max="1029" width="9.75" style="1" hidden="1"/>
    <col min="1030" max="1030" width="11.125" style="1" hidden="1"/>
    <col min="1031" max="1031" width="10.375" style="1" hidden="1"/>
    <col min="1032" max="1032" width="10.5" style="1" hidden="1"/>
    <col min="1033" max="1281" width="8" style="1" hidden="1"/>
    <col min="1282" max="1282" width="28.125" style="1" hidden="1"/>
    <col min="1283" max="1283" width="8.125" style="1" hidden="1"/>
    <col min="1284" max="1284" width="9.125" style="1" hidden="1"/>
    <col min="1285" max="1285" width="9.75" style="1" hidden="1"/>
    <col min="1286" max="1286" width="11.125" style="1" hidden="1"/>
    <col min="1287" max="1287" width="10.375" style="1" hidden="1"/>
    <col min="1288" max="1288" width="10.5" style="1" hidden="1"/>
    <col min="1289" max="1537" width="8" style="1" hidden="1"/>
    <col min="1538" max="1538" width="28.125" style="1" hidden="1"/>
    <col min="1539" max="1539" width="8.125" style="1" hidden="1"/>
    <col min="1540" max="1540" width="9.125" style="1" hidden="1"/>
    <col min="1541" max="1541" width="9.75" style="1" hidden="1"/>
    <col min="1542" max="1542" width="11.125" style="1" hidden="1"/>
    <col min="1543" max="1543" width="10.375" style="1" hidden="1"/>
    <col min="1544" max="1544" width="10.5" style="1" hidden="1"/>
    <col min="1545" max="1793" width="8" style="1" hidden="1"/>
    <col min="1794" max="1794" width="28.125" style="1" hidden="1"/>
    <col min="1795" max="1795" width="8.125" style="1" hidden="1"/>
    <col min="1796" max="1796" width="9.125" style="1" hidden="1"/>
    <col min="1797" max="1797" width="9.75" style="1" hidden="1"/>
    <col min="1798" max="1798" width="11.125" style="1" hidden="1"/>
    <col min="1799" max="1799" width="10.375" style="1" hidden="1"/>
    <col min="1800" max="1800" width="10.5" style="1" hidden="1"/>
    <col min="1801" max="2049" width="9" style="1" hidden="1"/>
    <col min="2050" max="2050" width="28.125" style="1" hidden="1"/>
    <col min="2051" max="2051" width="8.125" style="1" hidden="1"/>
    <col min="2052" max="2052" width="9.125" style="1" hidden="1"/>
    <col min="2053" max="2053" width="9.75" style="1" hidden="1"/>
    <col min="2054" max="2054" width="11.125" style="1" hidden="1"/>
    <col min="2055" max="2055" width="10.375" style="1" hidden="1"/>
    <col min="2056" max="2056" width="10.5" style="1" hidden="1"/>
    <col min="2057" max="2305" width="8" style="1" hidden="1"/>
    <col min="2306" max="2306" width="28.125" style="1" hidden="1"/>
    <col min="2307" max="2307" width="8.125" style="1" hidden="1"/>
    <col min="2308" max="2308" width="9.125" style="1" hidden="1"/>
    <col min="2309" max="2309" width="9.75" style="1" hidden="1"/>
    <col min="2310" max="2310" width="11.125" style="1" hidden="1"/>
    <col min="2311" max="2311" width="10.375" style="1" hidden="1"/>
    <col min="2312" max="2312" width="10.5" style="1" hidden="1"/>
    <col min="2313" max="2561" width="8" style="1" hidden="1"/>
    <col min="2562" max="2562" width="28.125" style="1" hidden="1"/>
    <col min="2563" max="2563" width="8.125" style="1" hidden="1"/>
    <col min="2564" max="2564" width="9.125" style="1" hidden="1"/>
    <col min="2565" max="2565" width="9.75" style="1" hidden="1"/>
    <col min="2566" max="2566" width="11.125" style="1" hidden="1"/>
    <col min="2567" max="2567" width="10.375" style="1" hidden="1"/>
    <col min="2568" max="2568" width="10.5" style="1" hidden="1"/>
    <col min="2569" max="2817" width="8" style="1" hidden="1"/>
    <col min="2818" max="2818" width="28.125" style="1" hidden="1"/>
    <col min="2819" max="2819" width="8.125" style="1" hidden="1"/>
    <col min="2820" max="2820" width="9.125" style="1" hidden="1"/>
    <col min="2821" max="2821" width="9.75" style="1" hidden="1"/>
    <col min="2822" max="2822" width="11.125" style="1" hidden="1"/>
    <col min="2823" max="2823" width="10.375" style="1" hidden="1"/>
    <col min="2824" max="2824" width="10.5" style="1" hidden="1"/>
    <col min="2825" max="3073" width="9" style="1" hidden="1"/>
    <col min="3074" max="3074" width="28.125" style="1" hidden="1"/>
    <col min="3075" max="3075" width="8.125" style="1" hidden="1"/>
    <col min="3076" max="3076" width="9.125" style="1" hidden="1"/>
    <col min="3077" max="3077" width="9.75" style="1" hidden="1"/>
    <col min="3078" max="3078" width="11.125" style="1" hidden="1"/>
    <col min="3079" max="3079" width="10.375" style="1" hidden="1"/>
    <col min="3080" max="3080" width="10.5" style="1" hidden="1"/>
    <col min="3081" max="3329" width="8" style="1" hidden="1"/>
    <col min="3330" max="3330" width="28.125" style="1" hidden="1"/>
    <col min="3331" max="3331" width="8.125" style="1" hidden="1"/>
    <col min="3332" max="3332" width="9.125" style="1" hidden="1"/>
    <col min="3333" max="3333" width="9.75" style="1" hidden="1"/>
    <col min="3334" max="3334" width="11.125" style="1" hidden="1"/>
    <col min="3335" max="3335" width="10.375" style="1" hidden="1"/>
    <col min="3336" max="3336" width="10.5" style="1" hidden="1"/>
    <col min="3337" max="3585" width="8" style="1" hidden="1"/>
    <col min="3586" max="3586" width="28.125" style="1" hidden="1"/>
    <col min="3587" max="3587" width="8.125" style="1" hidden="1"/>
    <col min="3588" max="3588" width="9.125" style="1" hidden="1"/>
    <col min="3589" max="3589" width="9.75" style="1" hidden="1"/>
    <col min="3590" max="3590" width="11.125" style="1" hidden="1"/>
    <col min="3591" max="3591" width="10.375" style="1" hidden="1"/>
    <col min="3592" max="3592" width="10.5" style="1" hidden="1"/>
    <col min="3593" max="3841" width="8" style="1" hidden="1"/>
    <col min="3842" max="3842" width="28.125" style="1" hidden="1"/>
    <col min="3843" max="3843" width="8.125" style="1" hidden="1"/>
    <col min="3844" max="3844" width="9.125" style="1" hidden="1"/>
    <col min="3845" max="3845" width="9.75" style="1" hidden="1"/>
    <col min="3846" max="3846" width="11.125" style="1" hidden="1"/>
    <col min="3847" max="3847" width="10.375" style="1" hidden="1"/>
    <col min="3848" max="3848" width="10.5" style="1" hidden="1"/>
    <col min="3849" max="4097" width="9" style="1" hidden="1"/>
    <col min="4098" max="4098" width="28.125" style="1" hidden="1"/>
    <col min="4099" max="4099" width="8.125" style="1" hidden="1"/>
    <col min="4100" max="4100" width="9.125" style="1" hidden="1"/>
    <col min="4101" max="4101" width="9.75" style="1" hidden="1"/>
    <col min="4102" max="4102" width="11.125" style="1" hidden="1"/>
    <col min="4103" max="4103" width="10.375" style="1" hidden="1"/>
    <col min="4104" max="4104" width="10.5" style="1" hidden="1"/>
    <col min="4105" max="4353" width="8" style="1" hidden="1"/>
    <col min="4354" max="4354" width="28.125" style="1" hidden="1"/>
    <col min="4355" max="4355" width="8.125" style="1" hidden="1"/>
    <col min="4356" max="4356" width="9.125" style="1" hidden="1"/>
    <col min="4357" max="4357" width="9.75" style="1" hidden="1"/>
    <col min="4358" max="4358" width="11.125" style="1" hidden="1"/>
    <col min="4359" max="4359" width="10.375" style="1" hidden="1"/>
    <col min="4360" max="4360" width="10.5" style="1" hidden="1"/>
    <col min="4361" max="4609" width="8" style="1" hidden="1"/>
    <col min="4610" max="4610" width="28.125" style="1" hidden="1"/>
    <col min="4611" max="4611" width="8.125" style="1" hidden="1"/>
    <col min="4612" max="4612" width="9.125" style="1" hidden="1"/>
    <col min="4613" max="4613" width="9.75" style="1" hidden="1"/>
    <col min="4614" max="4614" width="11.125" style="1" hidden="1"/>
    <col min="4615" max="4615" width="10.375" style="1" hidden="1"/>
    <col min="4616" max="4616" width="10.5" style="1" hidden="1"/>
    <col min="4617" max="4865" width="8" style="1" hidden="1"/>
    <col min="4866" max="4866" width="28.125" style="1" hidden="1"/>
    <col min="4867" max="4867" width="8.125" style="1" hidden="1"/>
    <col min="4868" max="4868" width="9.125" style="1" hidden="1"/>
    <col min="4869" max="4869" width="9.75" style="1" hidden="1"/>
    <col min="4870" max="4870" width="11.125" style="1" hidden="1"/>
    <col min="4871" max="4871" width="10.375" style="1" hidden="1"/>
    <col min="4872" max="4872" width="10.5" style="1" hidden="1"/>
    <col min="4873" max="5121" width="9" style="1" hidden="1"/>
    <col min="5122" max="5122" width="28.125" style="1" hidden="1"/>
    <col min="5123" max="5123" width="8.125" style="1" hidden="1"/>
    <col min="5124" max="5124" width="9.125" style="1" hidden="1"/>
    <col min="5125" max="5125" width="9.75" style="1" hidden="1"/>
    <col min="5126" max="5126" width="11.125" style="1" hidden="1"/>
    <col min="5127" max="5127" width="10.375" style="1" hidden="1"/>
    <col min="5128" max="5128" width="10.5" style="1" hidden="1"/>
    <col min="5129" max="5377" width="8" style="1" hidden="1"/>
    <col min="5378" max="5378" width="28.125" style="1" hidden="1"/>
    <col min="5379" max="5379" width="8.125" style="1" hidden="1"/>
    <col min="5380" max="5380" width="9.125" style="1" hidden="1"/>
    <col min="5381" max="5381" width="9.75" style="1" hidden="1"/>
    <col min="5382" max="5382" width="11.125" style="1" hidden="1"/>
    <col min="5383" max="5383" width="10.375" style="1" hidden="1"/>
    <col min="5384" max="5384" width="10.5" style="1" hidden="1"/>
    <col min="5385" max="5633" width="8" style="1" hidden="1"/>
    <col min="5634" max="5634" width="28.125" style="1" hidden="1"/>
    <col min="5635" max="5635" width="8.125" style="1" hidden="1"/>
    <col min="5636" max="5636" width="9.125" style="1" hidden="1"/>
    <col min="5637" max="5637" width="9.75" style="1" hidden="1"/>
    <col min="5638" max="5638" width="11.125" style="1" hidden="1"/>
    <col min="5639" max="5639" width="10.375" style="1" hidden="1"/>
    <col min="5640" max="5640" width="10.5" style="1" hidden="1"/>
    <col min="5641" max="5889" width="8" style="1" hidden="1"/>
    <col min="5890" max="5890" width="28.125" style="1" hidden="1"/>
    <col min="5891" max="5891" width="8.125" style="1" hidden="1"/>
    <col min="5892" max="5892" width="9.125" style="1" hidden="1"/>
    <col min="5893" max="5893" width="9.75" style="1" hidden="1"/>
    <col min="5894" max="5894" width="11.125" style="1" hidden="1"/>
    <col min="5895" max="5895" width="10.375" style="1" hidden="1"/>
    <col min="5896" max="5896" width="10.5" style="1" hidden="1"/>
    <col min="5897" max="6145" width="9" style="1" hidden="1"/>
    <col min="6146" max="6146" width="28.125" style="1" hidden="1"/>
    <col min="6147" max="6147" width="8.125" style="1" hidden="1"/>
    <col min="6148" max="6148" width="9.125" style="1" hidden="1"/>
    <col min="6149" max="6149" width="9.75" style="1" hidden="1"/>
    <col min="6150" max="6150" width="11.125" style="1" hidden="1"/>
    <col min="6151" max="6151" width="10.375" style="1" hidden="1"/>
    <col min="6152" max="6152" width="10.5" style="1" hidden="1"/>
    <col min="6153" max="6401" width="8" style="1" hidden="1"/>
    <col min="6402" max="6402" width="28.125" style="1" hidden="1"/>
    <col min="6403" max="6403" width="8.125" style="1" hidden="1"/>
    <col min="6404" max="6404" width="9.125" style="1" hidden="1"/>
    <col min="6405" max="6405" width="9.75" style="1" hidden="1"/>
    <col min="6406" max="6406" width="11.125" style="1" hidden="1"/>
    <col min="6407" max="6407" width="10.375" style="1" hidden="1"/>
    <col min="6408" max="6408" width="10.5" style="1" hidden="1"/>
    <col min="6409" max="6657" width="8" style="1" hidden="1"/>
    <col min="6658" max="6658" width="28.125" style="1" hidden="1"/>
    <col min="6659" max="6659" width="8.125" style="1" hidden="1"/>
    <col min="6660" max="6660" width="9.125" style="1" hidden="1"/>
    <col min="6661" max="6661" width="9.75" style="1" hidden="1"/>
    <col min="6662" max="6662" width="11.125" style="1" hidden="1"/>
    <col min="6663" max="6663" width="10.375" style="1" hidden="1"/>
    <col min="6664" max="6664" width="10.5" style="1" hidden="1"/>
    <col min="6665" max="6913" width="8" style="1" hidden="1"/>
    <col min="6914" max="6914" width="28.125" style="1" hidden="1"/>
    <col min="6915" max="6915" width="8.125" style="1" hidden="1"/>
    <col min="6916" max="6916" width="9.125" style="1" hidden="1"/>
    <col min="6917" max="6917" width="9.75" style="1" hidden="1"/>
    <col min="6918" max="6918" width="11.125" style="1" hidden="1"/>
    <col min="6919" max="6919" width="10.375" style="1" hidden="1"/>
    <col min="6920" max="6920" width="10.5" style="1" hidden="1"/>
    <col min="6921" max="7169" width="9" style="1" hidden="1"/>
    <col min="7170" max="7170" width="28.125" style="1" hidden="1"/>
    <col min="7171" max="7171" width="8.125" style="1" hidden="1"/>
    <col min="7172" max="7172" width="9.125" style="1" hidden="1"/>
    <col min="7173" max="7173" width="9.75" style="1" hidden="1"/>
    <col min="7174" max="7174" width="11.125" style="1" hidden="1"/>
    <col min="7175" max="7175" width="10.375" style="1" hidden="1"/>
    <col min="7176" max="7176" width="10.5" style="1" hidden="1"/>
    <col min="7177" max="7425" width="8" style="1" hidden="1"/>
    <col min="7426" max="7426" width="28.125" style="1" hidden="1"/>
    <col min="7427" max="7427" width="8.125" style="1" hidden="1"/>
    <col min="7428" max="7428" width="9.125" style="1" hidden="1"/>
    <col min="7429" max="7429" width="9.75" style="1" hidden="1"/>
    <col min="7430" max="7430" width="11.125" style="1" hidden="1"/>
    <col min="7431" max="7431" width="10.375" style="1" hidden="1"/>
    <col min="7432" max="7432" width="10.5" style="1" hidden="1"/>
    <col min="7433" max="7681" width="8" style="1" hidden="1"/>
    <col min="7682" max="7682" width="28.125" style="1" hidden="1"/>
    <col min="7683" max="7683" width="8.125" style="1" hidden="1"/>
    <col min="7684" max="7684" width="9.125" style="1" hidden="1"/>
    <col min="7685" max="7685" width="9.75" style="1" hidden="1"/>
    <col min="7686" max="7686" width="11.125" style="1" hidden="1"/>
    <col min="7687" max="7687" width="10.375" style="1" hidden="1"/>
    <col min="7688" max="7688" width="10.5" style="1" hidden="1"/>
    <col min="7689" max="7937" width="8" style="1" hidden="1"/>
    <col min="7938" max="7938" width="28.125" style="1" hidden="1"/>
    <col min="7939" max="7939" width="8.125" style="1" hidden="1"/>
    <col min="7940" max="7940" width="9.125" style="1" hidden="1"/>
    <col min="7941" max="7941" width="9.75" style="1" hidden="1"/>
    <col min="7942" max="7942" width="11.125" style="1" hidden="1"/>
    <col min="7943" max="7943" width="10.375" style="1" hidden="1"/>
    <col min="7944" max="7944" width="10.5" style="1" hidden="1"/>
    <col min="7945" max="8193" width="9" style="1" hidden="1"/>
    <col min="8194" max="8194" width="28.125" style="1" hidden="1"/>
    <col min="8195" max="8195" width="8.125" style="1" hidden="1"/>
    <col min="8196" max="8196" width="9.125" style="1" hidden="1"/>
    <col min="8197" max="8197" width="9.75" style="1" hidden="1"/>
    <col min="8198" max="8198" width="11.125" style="1" hidden="1"/>
    <col min="8199" max="8199" width="10.375" style="1" hidden="1"/>
    <col min="8200" max="8200" width="10.5" style="1" hidden="1"/>
    <col min="8201" max="8449" width="8" style="1" hidden="1"/>
    <col min="8450" max="8450" width="28.125" style="1" hidden="1"/>
    <col min="8451" max="8451" width="8.125" style="1" hidden="1"/>
    <col min="8452" max="8452" width="9.125" style="1" hidden="1"/>
    <col min="8453" max="8453" width="9.75" style="1" hidden="1"/>
    <col min="8454" max="8454" width="11.125" style="1" hidden="1"/>
    <col min="8455" max="8455" width="10.375" style="1" hidden="1"/>
    <col min="8456" max="8456" width="10.5" style="1" hidden="1"/>
    <col min="8457" max="8705" width="8" style="1" hidden="1"/>
    <col min="8706" max="8706" width="28.125" style="1" hidden="1"/>
    <col min="8707" max="8707" width="8.125" style="1" hidden="1"/>
    <col min="8708" max="8708" width="9.125" style="1" hidden="1"/>
    <col min="8709" max="8709" width="9.75" style="1" hidden="1"/>
    <col min="8710" max="8710" width="11.125" style="1" hidden="1"/>
    <col min="8711" max="8711" width="10.375" style="1" hidden="1"/>
    <col min="8712" max="8712" width="10.5" style="1" hidden="1"/>
    <col min="8713" max="8961" width="8" style="1" hidden="1"/>
    <col min="8962" max="8962" width="28.125" style="1" hidden="1"/>
    <col min="8963" max="8963" width="8.125" style="1" hidden="1"/>
    <col min="8964" max="8964" width="9.125" style="1" hidden="1"/>
    <col min="8965" max="8965" width="9.75" style="1" hidden="1"/>
    <col min="8966" max="8966" width="11.125" style="1" hidden="1"/>
    <col min="8967" max="8967" width="10.375" style="1" hidden="1"/>
    <col min="8968" max="8968" width="10.5" style="1" hidden="1"/>
    <col min="8969" max="9217" width="9" style="1" hidden="1"/>
    <col min="9218" max="9218" width="28.125" style="1" hidden="1"/>
    <col min="9219" max="9219" width="8.125" style="1" hidden="1"/>
    <col min="9220" max="9220" width="9.125" style="1" hidden="1"/>
    <col min="9221" max="9221" width="9.75" style="1" hidden="1"/>
    <col min="9222" max="9222" width="11.125" style="1" hidden="1"/>
    <col min="9223" max="9223" width="10.375" style="1" hidden="1"/>
    <col min="9224" max="9224" width="10.5" style="1" hidden="1"/>
    <col min="9225" max="9473" width="8" style="1" hidden="1"/>
    <col min="9474" max="9474" width="28.125" style="1" hidden="1"/>
    <col min="9475" max="9475" width="8.125" style="1" hidden="1"/>
    <col min="9476" max="9476" width="9.125" style="1" hidden="1"/>
    <col min="9477" max="9477" width="9.75" style="1" hidden="1"/>
    <col min="9478" max="9478" width="11.125" style="1" hidden="1"/>
    <col min="9479" max="9479" width="10.375" style="1" hidden="1"/>
    <col min="9480" max="9480" width="10.5" style="1" hidden="1"/>
    <col min="9481" max="9729" width="8" style="1" hidden="1"/>
    <col min="9730" max="9730" width="28.125" style="1" hidden="1"/>
    <col min="9731" max="9731" width="8.125" style="1" hidden="1"/>
    <col min="9732" max="9732" width="9.125" style="1" hidden="1"/>
    <col min="9733" max="9733" width="9.75" style="1" hidden="1"/>
    <col min="9734" max="9734" width="11.125" style="1" hidden="1"/>
    <col min="9735" max="9735" width="10.375" style="1" hidden="1"/>
    <col min="9736" max="9736" width="10.5" style="1" hidden="1"/>
    <col min="9737" max="9985" width="8" style="1" hidden="1"/>
    <col min="9986" max="9986" width="28.125" style="1" hidden="1"/>
    <col min="9987" max="9987" width="8.125" style="1" hidden="1"/>
    <col min="9988" max="9988" width="9.125" style="1" hidden="1"/>
    <col min="9989" max="9989" width="9.75" style="1" hidden="1"/>
    <col min="9990" max="9990" width="11.125" style="1" hidden="1"/>
    <col min="9991" max="9991" width="10.375" style="1" hidden="1"/>
    <col min="9992" max="9992" width="10.5" style="1" hidden="1"/>
    <col min="9993" max="10241" width="9" style="1" hidden="1"/>
    <col min="10242" max="10242" width="28.125" style="1" hidden="1"/>
    <col min="10243" max="10243" width="8.125" style="1" hidden="1"/>
    <col min="10244" max="10244" width="9.125" style="1" hidden="1"/>
    <col min="10245" max="10245" width="9.75" style="1" hidden="1"/>
    <col min="10246" max="10246" width="11.125" style="1" hidden="1"/>
    <col min="10247" max="10247" width="10.375" style="1" hidden="1"/>
    <col min="10248" max="10248" width="10.5" style="1" hidden="1"/>
    <col min="10249" max="10497" width="8" style="1" hidden="1"/>
    <col min="10498" max="10498" width="28.125" style="1" hidden="1"/>
    <col min="10499" max="10499" width="8.125" style="1" hidden="1"/>
    <col min="10500" max="10500" width="9.125" style="1" hidden="1"/>
    <col min="10501" max="10501" width="9.75" style="1" hidden="1"/>
    <col min="10502" max="10502" width="11.125" style="1" hidden="1"/>
    <col min="10503" max="10503" width="10.375" style="1" hidden="1"/>
    <col min="10504" max="10504" width="10.5" style="1" hidden="1"/>
    <col min="10505" max="10753" width="8" style="1" hidden="1"/>
    <col min="10754" max="10754" width="28.125" style="1" hidden="1"/>
    <col min="10755" max="10755" width="8.125" style="1" hidden="1"/>
    <col min="10756" max="10756" width="9.125" style="1" hidden="1"/>
    <col min="10757" max="10757" width="9.75" style="1" hidden="1"/>
    <col min="10758" max="10758" width="11.125" style="1" hidden="1"/>
    <col min="10759" max="10759" width="10.375" style="1" hidden="1"/>
    <col min="10760" max="10760" width="10.5" style="1" hidden="1"/>
    <col min="10761" max="11009" width="8" style="1" hidden="1"/>
    <col min="11010" max="11010" width="28.125" style="1" hidden="1"/>
    <col min="11011" max="11011" width="8.125" style="1" hidden="1"/>
    <col min="11012" max="11012" width="9.125" style="1" hidden="1"/>
    <col min="11013" max="11013" width="9.75" style="1" hidden="1"/>
    <col min="11014" max="11014" width="11.125" style="1" hidden="1"/>
    <col min="11015" max="11015" width="10.375" style="1" hidden="1"/>
    <col min="11016" max="11016" width="10.5" style="1" hidden="1"/>
    <col min="11017" max="11265" width="9" style="1" hidden="1"/>
    <col min="11266" max="11266" width="28.125" style="1" hidden="1"/>
    <col min="11267" max="11267" width="8.125" style="1" hidden="1"/>
    <col min="11268" max="11268" width="9.125" style="1" hidden="1"/>
    <col min="11269" max="11269" width="9.75" style="1" hidden="1"/>
    <col min="11270" max="11270" width="11.125" style="1" hidden="1"/>
    <col min="11271" max="11271" width="10.375" style="1" hidden="1"/>
    <col min="11272" max="11272" width="10.5" style="1" hidden="1"/>
    <col min="11273" max="11521" width="8" style="1" hidden="1"/>
    <col min="11522" max="11522" width="28.125" style="1" hidden="1"/>
    <col min="11523" max="11523" width="8.125" style="1" hidden="1"/>
    <col min="11524" max="11524" width="9.125" style="1" hidden="1"/>
    <col min="11525" max="11525" width="9.75" style="1" hidden="1"/>
    <col min="11526" max="11526" width="11.125" style="1" hidden="1"/>
    <col min="11527" max="11527" width="10.375" style="1" hidden="1"/>
    <col min="11528" max="11528" width="10.5" style="1" hidden="1"/>
    <col min="11529" max="11777" width="8" style="1" hidden="1"/>
    <col min="11778" max="11778" width="28.125" style="1" hidden="1"/>
    <col min="11779" max="11779" width="8.125" style="1" hidden="1"/>
    <col min="11780" max="11780" width="9.125" style="1" hidden="1"/>
    <col min="11781" max="11781" width="9.75" style="1" hidden="1"/>
    <col min="11782" max="11782" width="11.125" style="1" hidden="1"/>
    <col min="11783" max="11783" width="10.375" style="1" hidden="1"/>
    <col min="11784" max="11784" width="10.5" style="1" hidden="1"/>
    <col min="11785" max="12033" width="8" style="1" hidden="1"/>
    <col min="12034" max="12034" width="28.125" style="1" hidden="1"/>
    <col min="12035" max="12035" width="8.125" style="1" hidden="1"/>
    <col min="12036" max="12036" width="9.125" style="1" hidden="1"/>
    <col min="12037" max="12037" width="9.75" style="1" hidden="1"/>
    <col min="12038" max="12038" width="11.125" style="1" hidden="1"/>
    <col min="12039" max="12039" width="10.375" style="1" hidden="1"/>
    <col min="12040" max="12040" width="10.5" style="1" hidden="1"/>
    <col min="12041" max="12289" width="9" style="1" hidden="1"/>
    <col min="12290" max="12290" width="28.125" style="1" hidden="1"/>
    <col min="12291" max="12291" width="8.125" style="1" hidden="1"/>
    <col min="12292" max="12292" width="9.125" style="1" hidden="1"/>
    <col min="12293" max="12293" width="9.75" style="1" hidden="1"/>
    <col min="12294" max="12294" width="11.125" style="1" hidden="1"/>
    <col min="12295" max="12295" width="10.375" style="1" hidden="1"/>
    <col min="12296" max="12296" width="10.5" style="1" hidden="1"/>
    <col min="12297" max="12545" width="8" style="1" hidden="1"/>
    <col min="12546" max="12546" width="28.125" style="1" hidden="1"/>
    <col min="12547" max="12547" width="8.125" style="1" hidden="1"/>
    <col min="12548" max="12548" width="9.125" style="1" hidden="1"/>
    <col min="12549" max="12549" width="9.75" style="1" hidden="1"/>
    <col min="12550" max="12550" width="11.125" style="1" hidden="1"/>
    <col min="12551" max="12551" width="10.375" style="1" hidden="1"/>
    <col min="12552" max="12552" width="10.5" style="1" hidden="1"/>
    <col min="12553" max="12801" width="8" style="1" hidden="1"/>
    <col min="12802" max="12802" width="28.125" style="1" hidden="1"/>
    <col min="12803" max="12803" width="8.125" style="1" hidden="1"/>
    <col min="12804" max="12804" width="9.125" style="1" hidden="1"/>
    <col min="12805" max="12805" width="9.75" style="1" hidden="1"/>
    <col min="12806" max="12806" width="11.125" style="1" hidden="1"/>
    <col min="12807" max="12807" width="10.375" style="1" hidden="1"/>
    <col min="12808" max="12808" width="10.5" style="1" hidden="1"/>
    <col min="12809" max="13057" width="8" style="1" hidden="1"/>
    <col min="13058" max="13058" width="28.125" style="1" hidden="1"/>
    <col min="13059" max="13059" width="8.125" style="1" hidden="1"/>
    <col min="13060" max="13060" width="9.125" style="1" hidden="1"/>
    <col min="13061" max="13061" width="9.75" style="1" hidden="1"/>
    <col min="13062" max="13062" width="11.125" style="1" hidden="1"/>
    <col min="13063" max="13063" width="10.375" style="1" hidden="1"/>
    <col min="13064" max="13064" width="10.5" style="1" hidden="1"/>
    <col min="13065" max="13313" width="9" style="1" hidden="1"/>
    <col min="13314" max="13314" width="28.125" style="1" hidden="1"/>
    <col min="13315" max="13315" width="8.125" style="1" hidden="1"/>
    <col min="13316" max="13316" width="9.125" style="1" hidden="1"/>
    <col min="13317" max="13317" width="9.75" style="1" hidden="1"/>
    <col min="13318" max="13318" width="11.125" style="1" hidden="1"/>
    <col min="13319" max="13319" width="10.375" style="1" hidden="1"/>
    <col min="13320" max="13320" width="10.5" style="1" hidden="1"/>
    <col min="13321" max="13569" width="8" style="1" hidden="1"/>
    <col min="13570" max="13570" width="28.125" style="1" hidden="1"/>
    <col min="13571" max="13571" width="8.125" style="1" hidden="1"/>
    <col min="13572" max="13572" width="9.125" style="1" hidden="1"/>
    <col min="13573" max="13573" width="9.75" style="1" hidden="1"/>
    <col min="13574" max="13574" width="11.125" style="1" hidden="1"/>
    <col min="13575" max="13575" width="10.375" style="1" hidden="1"/>
    <col min="13576" max="13576" width="10.5" style="1" hidden="1"/>
    <col min="13577" max="13825" width="8" style="1" hidden="1"/>
    <col min="13826" max="13826" width="28.125" style="1" hidden="1"/>
    <col min="13827" max="13827" width="8.125" style="1" hidden="1"/>
    <col min="13828" max="13828" width="9.125" style="1" hidden="1"/>
    <col min="13829" max="13829" width="9.75" style="1" hidden="1"/>
    <col min="13830" max="13830" width="11.125" style="1" hidden="1"/>
    <col min="13831" max="13831" width="10.375" style="1" hidden="1"/>
    <col min="13832" max="13832" width="10.5" style="1" hidden="1"/>
    <col min="13833" max="14081" width="8" style="1" hidden="1"/>
    <col min="14082" max="14082" width="28.125" style="1" hidden="1"/>
    <col min="14083" max="14083" width="8.125" style="1" hidden="1"/>
    <col min="14084" max="14084" width="9.125" style="1" hidden="1"/>
    <col min="14085" max="14085" width="9.75" style="1" hidden="1"/>
    <col min="14086" max="14086" width="11.125" style="1" hidden="1"/>
    <col min="14087" max="14087" width="10.375" style="1" hidden="1"/>
    <col min="14088" max="14088" width="10.5" style="1" hidden="1"/>
    <col min="14089" max="14337" width="9" style="1" hidden="1"/>
    <col min="14338" max="14338" width="28.125" style="1" hidden="1"/>
    <col min="14339" max="14339" width="8.125" style="1" hidden="1"/>
    <col min="14340" max="14340" width="9.125" style="1" hidden="1"/>
    <col min="14341" max="14341" width="9.75" style="1" hidden="1"/>
    <col min="14342" max="14342" width="11.125" style="1" hidden="1"/>
    <col min="14343" max="14343" width="10.375" style="1" hidden="1"/>
    <col min="14344" max="14344" width="10.5" style="1" hidden="1"/>
    <col min="14345" max="14593" width="8" style="1" hidden="1"/>
    <col min="14594" max="14594" width="28.125" style="1" hidden="1"/>
    <col min="14595" max="14595" width="8.125" style="1" hidden="1"/>
    <col min="14596" max="14596" width="9.125" style="1" hidden="1"/>
    <col min="14597" max="14597" width="9.75" style="1" hidden="1"/>
    <col min="14598" max="14598" width="11.125" style="1" hidden="1"/>
    <col min="14599" max="14599" width="10.375" style="1" hidden="1"/>
    <col min="14600" max="14600" width="10.5" style="1" hidden="1"/>
    <col min="14601" max="14849" width="8" style="1" hidden="1"/>
    <col min="14850" max="14850" width="28.125" style="1" hidden="1"/>
    <col min="14851" max="14851" width="8.125" style="1" hidden="1"/>
    <col min="14852" max="14852" width="9.125" style="1" hidden="1"/>
    <col min="14853" max="14853" width="9.75" style="1" hidden="1"/>
    <col min="14854" max="14854" width="11.125" style="1" hidden="1"/>
    <col min="14855" max="14855" width="10.375" style="1" hidden="1"/>
    <col min="14856" max="14856" width="10.5" style="1" hidden="1"/>
    <col min="14857" max="15105" width="8" style="1" hidden="1"/>
    <col min="15106" max="15106" width="28.125" style="1" hidden="1"/>
    <col min="15107" max="15107" width="8.125" style="1" hidden="1"/>
    <col min="15108" max="15108" width="9.125" style="1" hidden="1"/>
    <col min="15109" max="15109" width="9.75" style="1" hidden="1"/>
    <col min="15110" max="15110" width="11.125" style="1" hidden="1"/>
    <col min="15111" max="15111" width="10.375" style="1" hidden="1"/>
    <col min="15112" max="15112" width="10.5" style="1" hidden="1"/>
    <col min="15113" max="15361" width="9" style="1" hidden="1"/>
    <col min="15362" max="15362" width="28.125" style="1" hidden="1"/>
    <col min="15363" max="15363" width="8.125" style="1" hidden="1"/>
    <col min="15364" max="15364" width="9.125" style="1" hidden="1"/>
    <col min="15365" max="15365" width="9.75" style="1" hidden="1"/>
    <col min="15366" max="15366" width="11.125" style="1" hidden="1"/>
    <col min="15367" max="15367" width="10.375" style="1" hidden="1"/>
    <col min="15368" max="15368" width="10.5" style="1" hidden="1"/>
    <col min="15369" max="15617" width="8" style="1" hidden="1"/>
    <col min="15618" max="15618" width="28.125" style="1" hidden="1"/>
    <col min="15619" max="15619" width="8.125" style="1" hidden="1"/>
    <col min="15620" max="15620" width="9.125" style="1" hidden="1"/>
    <col min="15621" max="15621" width="9.75" style="1" hidden="1"/>
    <col min="15622" max="15622" width="11.125" style="1" hidden="1"/>
    <col min="15623" max="15623" width="10.375" style="1" hidden="1"/>
    <col min="15624" max="15624" width="10.5" style="1" hidden="1"/>
    <col min="15625" max="15873" width="8" style="1" hidden="1"/>
    <col min="15874" max="15874" width="28.125" style="1" hidden="1"/>
    <col min="15875" max="15875" width="8.125" style="1" hidden="1"/>
    <col min="15876" max="15876" width="9.125" style="1" hidden="1"/>
    <col min="15877" max="15877" width="9.75" style="1" hidden="1"/>
    <col min="15878" max="15878" width="11.125" style="1" hidden="1"/>
    <col min="15879" max="15879" width="10.375" style="1" hidden="1"/>
    <col min="15880" max="15880" width="10.5" style="1" hidden="1"/>
    <col min="15881" max="16129" width="8" style="1" hidden="1"/>
    <col min="16130" max="16130" width="28.125" style="1" hidden="1"/>
    <col min="16131" max="16131" width="8.125" style="1" hidden="1"/>
    <col min="16132" max="16132" width="9.125" style="1" hidden="1"/>
    <col min="16133" max="16133" width="9.75" style="1" hidden="1"/>
    <col min="16134" max="16134" width="11.125" style="1" hidden="1"/>
    <col min="16135" max="16135" width="10.375" style="1" hidden="1"/>
    <col min="16136" max="16136" width="10.5" style="1" hidden="1"/>
    <col min="16137" max="16384" width="9" style="1" hidden="1"/>
  </cols>
  <sheetData>
    <row r="1" spans="2:8" ht="15.95" customHeight="1">
      <c r="B1" s="3"/>
      <c r="C1" s="7"/>
      <c r="E1" s="45" t="s">
        <v>29</v>
      </c>
      <c r="F1" s="23" t="s">
        <v>393</v>
      </c>
      <c r="H1" s="249"/>
    </row>
    <row r="2" spans="2:8" ht="15.95" customHeight="1" thickBot="1">
      <c r="B2" s="24"/>
      <c r="C2" s="2"/>
      <c r="E2" s="2"/>
      <c r="F2" s="4"/>
      <c r="G2" s="4"/>
      <c r="H2" s="4"/>
    </row>
    <row r="3" spans="2:8" ht="20.25" customHeight="1">
      <c r="B3" s="308" t="s">
        <v>443</v>
      </c>
      <c r="C3" s="309"/>
      <c r="D3" s="309"/>
      <c r="E3" s="309"/>
      <c r="F3" s="310"/>
      <c r="G3" s="4"/>
      <c r="H3" s="4"/>
    </row>
    <row r="4" spans="2:8" ht="15.95" customHeight="1">
      <c r="B4" s="250"/>
      <c r="C4" s="2"/>
      <c r="E4" s="2"/>
      <c r="F4" s="251"/>
      <c r="G4" s="4"/>
      <c r="H4" s="4"/>
    </row>
    <row r="5" spans="2:8" ht="15.95" customHeight="1">
      <c r="B5" s="44"/>
      <c r="C5" s="54" t="s">
        <v>12</v>
      </c>
      <c r="D5" s="54" t="s">
        <v>17</v>
      </c>
      <c r="E5" s="55" t="s">
        <v>474</v>
      </c>
      <c r="F5" s="56" t="s">
        <v>468</v>
      </c>
      <c r="G5" s="9"/>
      <c r="H5" s="9"/>
    </row>
    <row r="6" spans="2:8" ht="15.95" customHeight="1">
      <c r="B6" s="51" t="s">
        <v>467</v>
      </c>
      <c r="C6" s="41"/>
      <c r="D6" s="41"/>
      <c r="E6" s="9"/>
      <c r="F6" s="8"/>
      <c r="G6" s="9"/>
      <c r="H6" s="9"/>
    </row>
    <row r="7" spans="2:8" ht="15.95" customHeight="1">
      <c r="B7" s="11" t="s">
        <v>444</v>
      </c>
      <c r="C7" s="7" t="s">
        <v>377</v>
      </c>
      <c r="D7" s="7">
        <f>Inputs!K7</f>
        <v>300</v>
      </c>
      <c r="E7" s="2">
        <f>Inputs!K8</f>
        <v>0.75</v>
      </c>
      <c r="F7" s="153">
        <f>D7*E7</f>
        <v>225</v>
      </c>
      <c r="G7" s="2"/>
      <c r="H7" s="2"/>
    </row>
    <row r="8" spans="2:8" ht="15.95" customHeight="1">
      <c r="B8" s="11" t="s">
        <v>445</v>
      </c>
      <c r="C8" s="7" t="s">
        <v>366</v>
      </c>
      <c r="D8" s="252">
        <f>Inputs!K5</f>
        <v>3</v>
      </c>
      <c r="E8" s="2">
        <f>Inputs!K6</f>
        <v>100</v>
      </c>
      <c r="F8" s="153">
        <f>D8*E8</f>
        <v>300</v>
      </c>
      <c r="G8" s="2"/>
      <c r="H8" s="2"/>
    </row>
    <row r="9" spans="2:8" ht="15.95" customHeight="1">
      <c r="B9" s="15" t="s">
        <v>446</v>
      </c>
      <c r="C9" s="2" t="s">
        <v>375</v>
      </c>
      <c r="D9" s="252">
        <f>Inputs!K9</f>
        <v>1</v>
      </c>
      <c r="E9" s="2">
        <f>Inputs!K10</f>
        <v>18</v>
      </c>
      <c r="F9" s="153">
        <f t="shared" ref="F9:F10" si="0">D9*E9</f>
        <v>18</v>
      </c>
      <c r="G9" s="2"/>
      <c r="H9" s="2"/>
    </row>
    <row r="10" spans="2:8" ht="15.95" customHeight="1">
      <c r="B10" s="15" t="s">
        <v>370</v>
      </c>
      <c r="C10" s="2"/>
      <c r="D10" s="57"/>
      <c r="E10" s="47"/>
      <c r="F10" s="155">
        <f t="shared" si="0"/>
        <v>0</v>
      </c>
      <c r="G10" s="2"/>
      <c r="H10" s="2"/>
    </row>
    <row r="11" spans="2:8" ht="15.95" customHeight="1">
      <c r="B11" s="43" t="s">
        <v>470</v>
      </c>
      <c r="C11" s="2"/>
      <c r="D11" s="13"/>
      <c r="E11" s="13"/>
      <c r="F11" s="152">
        <f>SUM(F7:F10)</f>
        <v>543</v>
      </c>
      <c r="G11" s="14"/>
      <c r="H11" s="14"/>
    </row>
    <row r="12" spans="2:8" ht="15.95" customHeight="1">
      <c r="B12" s="5"/>
      <c r="C12" s="2"/>
      <c r="D12" s="13"/>
      <c r="E12" s="2"/>
      <c r="F12" s="12"/>
      <c r="G12" s="2"/>
      <c r="H12" s="2"/>
    </row>
    <row r="13" spans="2:8" ht="15.95" customHeight="1">
      <c r="B13" s="52" t="s">
        <v>476</v>
      </c>
      <c r="C13" s="55" t="s">
        <v>32</v>
      </c>
      <c r="D13" s="55" t="s">
        <v>31</v>
      </c>
      <c r="E13" s="55" t="s">
        <v>475</v>
      </c>
      <c r="F13" s="56" t="s">
        <v>468</v>
      </c>
      <c r="G13" s="2"/>
      <c r="H13" s="2"/>
    </row>
    <row r="14" spans="2:8" ht="15.95" customHeight="1">
      <c r="B14" s="15" t="s">
        <v>33</v>
      </c>
      <c r="C14" s="13">
        <v>0</v>
      </c>
      <c r="D14" s="2"/>
      <c r="F14" s="153">
        <v>0</v>
      </c>
      <c r="G14" s="2"/>
      <c r="H14" s="2"/>
    </row>
    <row r="15" spans="2:8" ht="15.95" customHeight="1">
      <c r="B15" s="15" t="s">
        <v>34</v>
      </c>
      <c r="C15" s="2"/>
      <c r="D15" s="13"/>
      <c r="E15" s="2"/>
      <c r="F15" s="153">
        <f>SUM(E16:E19)</f>
        <v>115.35</v>
      </c>
      <c r="G15" s="2"/>
      <c r="H15" s="2"/>
    </row>
    <row r="16" spans="2:8" ht="15.95" customHeight="1">
      <c r="B16" s="18" t="s">
        <v>35</v>
      </c>
      <c r="C16" s="253">
        <f>Inputs!K19</f>
        <v>70</v>
      </c>
      <c r="D16" s="13">
        <f>Inputs!D30</f>
        <v>0.6</v>
      </c>
      <c r="E16" s="2">
        <f>C16*D16</f>
        <v>42</v>
      </c>
      <c r="F16" s="153"/>
      <c r="G16" s="2"/>
      <c r="H16" s="2"/>
    </row>
    <row r="17" spans="2:8" ht="15.95" customHeight="1">
      <c r="B17" s="18" t="s">
        <v>36</v>
      </c>
      <c r="C17" s="253">
        <f>Inputs!K20</f>
        <v>30</v>
      </c>
      <c r="D17" s="13">
        <f>Inputs!D31</f>
        <v>0.62</v>
      </c>
      <c r="E17" s="2">
        <f t="shared" ref="E17:E19" si="1">C17*D17</f>
        <v>18.600000000000001</v>
      </c>
      <c r="F17" s="153"/>
      <c r="G17" s="2"/>
      <c r="H17" s="2"/>
    </row>
    <row r="18" spans="2:8" ht="15.95" customHeight="1">
      <c r="B18" s="18" t="s">
        <v>22</v>
      </c>
      <c r="C18" s="253">
        <f>Inputs!K21</f>
        <v>100</v>
      </c>
      <c r="D18" s="13">
        <f>Inputs!D32</f>
        <v>0.41</v>
      </c>
      <c r="E18" s="2">
        <f t="shared" si="1"/>
        <v>41</v>
      </c>
      <c r="F18" s="153"/>
      <c r="G18" s="2"/>
      <c r="H18" s="2"/>
    </row>
    <row r="19" spans="2:8" ht="15.95" customHeight="1">
      <c r="B19" s="18" t="s">
        <v>37</v>
      </c>
      <c r="C19" s="58">
        <f>Inputs!K22</f>
        <v>0.5</v>
      </c>
      <c r="D19" s="13">
        <f>Inputs!D33</f>
        <v>27.5</v>
      </c>
      <c r="E19" s="2">
        <f t="shared" si="1"/>
        <v>13.75</v>
      </c>
      <c r="F19" s="179"/>
      <c r="G19" s="4"/>
      <c r="H19" s="4"/>
    </row>
    <row r="20" spans="2:8" ht="15.95" customHeight="1">
      <c r="B20" s="15" t="s">
        <v>38</v>
      </c>
      <c r="C20" s="2"/>
      <c r="D20" s="13"/>
      <c r="E20" s="2"/>
      <c r="F20" s="153" t="str">
        <f>Inputs!K34</f>
        <v>-</v>
      </c>
      <c r="G20" s="2"/>
      <c r="H20" s="2"/>
    </row>
    <row r="21" spans="2:8" ht="15.95" customHeight="1">
      <c r="B21" s="15" t="s">
        <v>767</v>
      </c>
      <c r="C21" s="2"/>
      <c r="D21" s="13"/>
      <c r="E21" s="2"/>
      <c r="F21" s="180">
        <v>10</v>
      </c>
      <c r="G21" s="2"/>
      <c r="H21" s="2"/>
    </row>
    <row r="22" spans="2:8" ht="15.95" customHeight="1">
      <c r="B22" s="15" t="s">
        <v>39</v>
      </c>
      <c r="C22" s="2"/>
      <c r="D22" s="13"/>
      <c r="E22" s="2"/>
      <c r="F22" s="180">
        <v>0</v>
      </c>
      <c r="G22" s="2"/>
      <c r="H22" s="2"/>
    </row>
    <row r="23" spans="2:8" ht="15.95" customHeight="1">
      <c r="B23" s="15" t="s">
        <v>40</v>
      </c>
      <c r="C23" s="2"/>
      <c r="D23" s="13"/>
      <c r="E23" s="2"/>
      <c r="F23" s="153">
        <f>H63</f>
        <v>76.125</v>
      </c>
      <c r="G23" s="2"/>
      <c r="H23" s="2"/>
    </row>
    <row r="24" spans="2:8" ht="15.95" customHeight="1">
      <c r="B24" s="15" t="s">
        <v>743</v>
      </c>
      <c r="C24" s="2">
        <f>D73</f>
        <v>1.4818573317307693</v>
      </c>
      <c r="D24" s="13">
        <f>Inputs!D29</f>
        <v>4</v>
      </c>
      <c r="E24" s="2"/>
      <c r="F24" s="153">
        <f>C24*D24</f>
        <v>5.9274293269230771</v>
      </c>
      <c r="G24" s="2"/>
      <c r="H24" s="2"/>
    </row>
    <row r="25" spans="2:8" ht="15.95" customHeight="1">
      <c r="B25" s="15" t="s">
        <v>41</v>
      </c>
      <c r="D25" s="13"/>
      <c r="E25" s="2"/>
      <c r="F25" s="153">
        <f>E73-F24-(H53*C73)</f>
        <v>18.055826701396906</v>
      </c>
      <c r="G25" s="2"/>
      <c r="H25" s="2"/>
    </row>
    <row r="26" spans="2:8" ht="15.95" customHeight="1">
      <c r="B26" s="15" t="s">
        <v>42</v>
      </c>
      <c r="C26" s="2">
        <f>C73+Inputs!K23</f>
        <v>1.0728473557692308</v>
      </c>
      <c r="D26" s="13">
        <f>Inputs!D28</f>
        <v>17.309999999999999</v>
      </c>
      <c r="E26" s="2"/>
      <c r="F26" s="153">
        <f>D26*C26</f>
        <v>18.570987728365385</v>
      </c>
      <c r="G26" s="2"/>
      <c r="H26" s="2"/>
    </row>
    <row r="27" spans="2:8" ht="15.95" customHeight="1">
      <c r="B27" s="15" t="s">
        <v>43</v>
      </c>
      <c r="C27" s="2"/>
      <c r="D27" s="13"/>
      <c r="E27" s="2"/>
      <c r="F27" s="180">
        <v>0</v>
      </c>
      <c r="G27" s="2"/>
      <c r="H27" s="2"/>
    </row>
    <row r="28" spans="2:8" ht="15.95" customHeight="1">
      <c r="B28" s="15" t="s">
        <v>24</v>
      </c>
      <c r="C28" s="2">
        <f>SUM(F14:F27)/2</f>
        <v>122.01462187834269</v>
      </c>
      <c r="D28" s="205">
        <f>Inputs!D24</f>
        <v>0.09</v>
      </c>
      <c r="F28" s="155">
        <f>D28*C28</f>
        <v>10.981315969050842</v>
      </c>
      <c r="G28" s="2"/>
      <c r="H28" s="2"/>
    </row>
    <row r="29" spans="2:8" ht="15.95" customHeight="1">
      <c r="B29" s="43" t="s">
        <v>471</v>
      </c>
      <c r="C29" s="17"/>
      <c r="D29" s="16"/>
      <c r="E29" s="2"/>
      <c r="F29" s="152">
        <f>SUM(F14:F28)</f>
        <v>255.01055972573624</v>
      </c>
      <c r="G29" s="14"/>
      <c r="H29" s="14"/>
    </row>
    <row r="30" spans="2:8" ht="15.95" customHeight="1">
      <c r="B30" s="5"/>
      <c r="C30" s="2"/>
      <c r="D30" s="13"/>
      <c r="E30" s="2"/>
      <c r="F30" s="179"/>
      <c r="G30" s="4"/>
      <c r="H30" s="4"/>
    </row>
    <row r="31" spans="2:8" ht="15.95" customHeight="1">
      <c r="B31" s="52" t="s">
        <v>770</v>
      </c>
      <c r="C31" s="2"/>
      <c r="D31" s="13"/>
      <c r="E31" s="2"/>
      <c r="F31" s="153"/>
      <c r="G31" s="2"/>
      <c r="H31" s="2"/>
    </row>
    <row r="32" spans="2:8" ht="15.95" customHeight="1">
      <c r="B32" s="15" t="s">
        <v>28</v>
      </c>
      <c r="C32" s="4"/>
      <c r="D32" s="13"/>
      <c r="E32" s="2"/>
      <c r="F32" s="153">
        <f>Inputs!K37</f>
        <v>8.84</v>
      </c>
      <c r="G32" s="2"/>
      <c r="H32" s="2"/>
    </row>
    <row r="33" spans="2:8" ht="15.95" customHeight="1">
      <c r="B33" s="15" t="s">
        <v>749</v>
      </c>
      <c r="C33" s="2"/>
      <c r="D33" s="13"/>
      <c r="E33" s="2"/>
      <c r="F33" s="153">
        <f>F73</f>
        <v>21.369974737128739</v>
      </c>
      <c r="G33" s="2"/>
      <c r="H33" s="2"/>
    </row>
    <row r="34" spans="2:8" ht="15.95" customHeight="1">
      <c r="B34" s="15" t="s">
        <v>44</v>
      </c>
      <c r="C34" s="2"/>
      <c r="D34" s="13"/>
      <c r="E34" s="2"/>
      <c r="F34" s="155">
        <f>Inputs!K38</f>
        <v>39.042845117845125</v>
      </c>
      <c r="G34" s="2"/>
      <c r="H34" s="2"/>
    </row>
    <row r="35" spans="2:8" ht="15.95" customHeight="1">
      <c r="B35" s="43" t="s">
        <v>472</v>
      </c>
      <c r="C35" s="2"/>
      <c r="D35" s="13"/>
      <c r="E35" s="2"/>
      <c r="F35" s="152">
        <f>SUM(F32:F34)</f>
        <v>69.252819854973865</v>
      </c>
      <c r="G35" s="2"/>
      <c r="H35" s="2"/>
    </row>
    <row r="36" spans="2:8" ht="15.95" customHeight="1">
      <c r="B36" s="5"/>
      <c r="C36" s="2"/>
      <c r="D36" s="13"/>
      <c r="E36" s="2"/>
      <c r="F36" s="153"/>
      <c r="G36" s="14"/>
      <c r="H36" s="14"/>
    </row>
    <row r="37" spans="2:8" ht="15.95" customHeight="1">
      <c r="B37" s="48" t="s">
        <v>473</v>
      </c>
      <c r="C37" s="10"/>
      <c r="D37" s="19"/>
      <c r="E37" s="19"/>
      <c r="F37" s="154">
        <f>F29+F35</f>
        <v>324.26337958071008</v>
      </c>
      <c r="G37" s="2"/>
      <c r="H37" s="2"/>
    </row>
    <row r="38" spans="2:8" ht="15.95" customHeight="1">
      <c r="B38" s="5"/>
      <c r="C38" s="2"/>
      <c r="D38" s="13"/>
      <c r="E38" s="2"/>
      <c r="F38" s="153"/>
      <c r="G38" s="14"/>
      <c r="H38" s="14"/>
    </row>
    <row r="39" spans="2:8" ht="15.95" customHeight="1">
      <c r="B39" s="42" t="s">
        <v>768</v>
      </c>
      <c r="C39" s="2"/>
      <c r="D39" s="13"/>
      <c r="E39" s="2"/>
      <c r="F39" s="152">
        <f>F11-F29</f>
        <v>287.98944027426376</v>
      </c>
      <c r="G39" s="4"/>
      <c r="H39" s="2"/>
    </row>
    <row r="40" spans="2:8" ht="15.95" customHeight="1">
      <c r="B40" s="42" t="s">
        <v>769</v>
      </c>
      <c r="C40" s="2"/>
      <c r="D40" s="13"/>
      <c r="E40" s="2"/>
      <c r="F40" s="152">
        <f>F11-F37</f>
        <v>218.73662041928992</v>
      </c>
      <c r="G40" s="2"/>
      <c r="H40" s="2"/>
    </row>
    <row r="41" spans="2:8" ht="15.95" customHeight="1" thickBot="1">
      <c r="B41" s="254"/>
      <c r="C41" s="21"/>
      <c r="D41" s="255"/>
      <c r="E41" s="21"/>
      <c r="F41" s="256"/>
      <c r="G41" s="2"/>
      <c r="H41" s="2"/>
    </row>
    <row r="42" spans="2:8" ht="15.95" customHeight="1">
      <c r="B42" s="4"/>
      <c r="C42" s="2"/>
      <c r="D42" s="13"/>
      <c r="E42" s="2"/>
      <c r="F42" s="2"/>
      <c r="G42" s="2"/>
      <c r="H42" s="2"/>
    </row>
    <row r="43" spans="2:8">
      <c r="B43" s="4"/>
      <c r="C43" s="2"/>
      <c r="D43" s="2"/>
      <c r="E43" s="2"/>
      <c r="F43" s="2"/>
      <c r="G43" s="4"/>
      <c r="H43" s="4"/>
    </row>
    <row r="44" spans="2:8">
      <c r="B44" s="49"/>
      <c r="C44" s="26"/>
      <c r="D44" s="165"/>
      <c r="E44" s="25"/>
      <c r="F44" s="25"/>
      <c r="G44" s="25"/>
      <c r="H44" s="49"/>
    </row>
    <row r="45" spans="2:8">
      <c r="B45" s="27" t="s">
        <v>378</v>
      </c>
      <c r="C45" s="28" t="s">
        <v>779</v>
      </c>
      <c r="D45" s="166"/>
      <c r="E45" s="27" t="s">
        <v>386</v>
      </c>
      <c r="F45" s="27"/>
      <c r="G45" s="137"/>
      <c r="H45" s="28" t="s">
        <v>399</v>
      </c>
    </row>
    <row r="46" spans="2:8">
      <c r="B46" s="49" t="s">
        <v>773</v>
      </c>
      <c r="C46" s="49">
        <f>D7</f>
        <v>300</v>
      </c>
      <c r="D46" s="49"/>
      <c r="E46" s="25" t="s">
        <v>774</v>
      </c>
      <c r="F46" s="29"/>
      <c r="G46" s="139"/>
      <c r="H46" s="171">
        <f>E7</f>
        <v>0.75</v>
      </c>
    </row>
    <row r="47" spans="2:8">
      <c r="B47" s="49" t="s">
        <v>417</v>
      </c>
      <c r="C47" s="257">
        <f>D8</f>
        <v>3</v>
      </c>
      <c r="D47" s="49"/>
      <c r="E47" s="49" t="s">
        <v>420</v>
      </c>
      <c r="F47" s="49"/>
      <c r="G47" s="49"/>
      <c r="H47" s="171">
        <f>E8</f>
        <v>100</v>
      </c>
    </row>
    <row r="48" spans="2:8">
      <c r="B48" s="49" t="s">
        <v>419</v>
      </c>
      <c r="C48" s="257">
        <f>D9</f>
        <v>1</v>
      </c>
      <c r="D48" s="49"/>
      <c r="E48" s="49" t="s">
        <v>415</v>
      </c>
      <c r="F48" s="49"/>
      <c r="G48" s="49"/>
      <c r="H48" s="171">
        <f>E9</f>
        <v>18</v>
      </c>
    </row>
    <row r="49" spans="1:8">
      <c r="B49" s="49" t="s">
        <v>414</v>
      </c>
      <c r="C49" s="167">
        <f>C16</f>
        <v>70</v>
      </c>
      <c r="D49" s="49"/>
      <c r="E49" s="49" t="s">
        <v>410</v>
      </c>
      <c r="F49" s="49"/>
      <c r="G49" s="49"/>
      <c r="H49" s="171">
        <f>D16</f>
        <v>0.6</v>
      </c>
    </row>
    <row r="50" spans="1:8">
      <c r="B50" s="49" t="s">
        <v>381</v>
      </c>
      <c r="C50" s="167">
        <f>C17</f>
        <v>30</v>
      </c>
      <c r="D50" s="49"/>
      <c r="E50" s="49" t="s">
        <v>402</v>
      </c>
      <c r="F50" s="49"/>
      <c r="G50" s="49"/>
      <c r="H50" s="171">
        <f>D17</f>
        <v>0.62</v>
      </c>
    </row>
    <row r="51" spans="1:8">
      <c r="B51" s="49" t="s">
        <v>382</v>
      </c>
      <c r="C51" s="167">
        <f>C18</f>
        <v>100</v>
      </c>
      <c r="D51" s="49"/>
      <c r="E51" s="49" t="s">
        <v>390</v>
      </c>
      <c r="F51" s="49"/>
      <c r="G51" s="49"/>
      <c r="H51" s="171">
        <f>D18</f>
        <v>0.41</v>
      </c>
    </row>
    <row r="52" spans="1:8">
      <c r="B52" s="49" t="s">
        <v>383</v>
      </c>
      <c r="C52" s="168">
        <f>C19</f>
        <v>0.5</v>
      </c>
      <c r="D52" s="49"/>
      <c r="E52" s="49" t="s">
        <v>391</v>
      </c>
      <c r="F52" s="49"/>
      <c r="G52" s="49"/>
      <c r="H52" s="171">
        <f>D19</f>
        <v>27.5</v>
      </c>
    </row>
    <row r="53" spans="1:8">
      <c r="B53" s="49" t="s">
        <v>384</v>
      </c>
      <c r="C53" s="169">
        <f>C26</f>
        <v>1.0728473557692308</v>
      </c>
      <c r="D53" s="49"/>
      <c r="E53" s="49" t="s">
        <v>802</v>
      </c>
      <c r="F53" s="49"/>
      <c r="G53" s="49"/>
      <c r="H53" s="171">
        <f>Inputs!D28</f>
        <v>17.309999999999999</v>
      </c>
    </row>
    <row r="54" spans="1:8">
      <c r="B54" s="49" t="s">
        <v>385</v>
      </c>
      <c r="C54" s="170">
        <f>D28</f>
        <v>0.09</v>
      </c>
      <c r="D54" s="49"/>
      <c r="E54" s="49" t="s">
        <v>392</v>
      </c>
      <c r="F54" s="49"/>
      <c r="G54" s="49"/>
      <c r="H54" s="171">
        <f>Inputs!D29</f>
        <v>4</v>
      </c>
    </row>
    <row r="55" spans="1:8">
      <c r="B55" s="49"/>
      <c r="C55" s="170"/>
      <c r="D55" s="49"/>
      <c r="E55" s="49"/>
      <c r="F55" s="49"/>
      <c r="G55" s="49"/>
      <c r="H55" s="171"/>
    </row>
    <row r="56" spans="1:8">
      <c r="B56" s="49"/>
      <c r="C56" s="49"/>
      <c r="D56" s="49"/>
      <c r="E56" s="49"/>
      <c r="F56" s="49"/>
      <c r="G56" s="49"/>
      <c r="H56" s="258"/>
    </row>
    <row r="57" spans="1:8">
      <c r="B57" s="49" t="s">
        <v>751</v>
      </c>
      <c r="C57" s="160" t="s">
        <v>756</v>
      </c>
      <c r="D57" s="49"/>
      <c r="E57" s="49"/>
      <c r="F57" s="49"/>
      <c r="G57" s="49"/>
      <c r="H57" s="49"/>
    </row>
    <row r="58" spans="1:8" s="22" customFormat="1">
      <c r="A58" s="1"/>
      <c r="B58" s="312" t="s">
        <v>480</v>
      </c>
      <c r="C58" s="312"/>
      <c r="D58" s="138" t="s">
        <v>698</v>
      </c>
      <c r="E58" s="174" t="s">
        <v>742</v>
      </c>
      <c r="F58" s="137" t="s">
        <v>753</v>
      </c>
      <c r="G58" s="137" t="s">
        <v>754</v>
      </c>
      <c r="H58" s="137" t="s">
        <v>755</v>
      </c>
    </row>
    <row r="59" spans="1:8">
      <c r="A59" s="22"/>
      <c r="B59" s="313" t="str">
        <f>'Custom Hire'!B42</f>
        <v>Apply dry fertilizer on pasture, topdressing</v>
      </c>
      <c r="C59" s="313"/>
      <c r="D59" s="218">
        <f>'Custom Hire'!E42</f>
        <v>1</v>
      </c>
      <c r="E59" s="144">
        <f>'Custom Hire'!C42</f>
        <v>7.25</v>
      </c>
      <c r="F59" s="145" t="str">
        <f>'Custom Hire'!D42</f>
        <v>per acre</v>
      </c>
      <c r="G59" s="145" t="str">
        <f>IF(F59="per acre","",IF(F59="per bale",$D$7*2000/Inputs!$K$25,$D$7))</f>
        <v/>
      </c>
      <c r="H59" s="146">
        <f>E59*MAX(D59,G59)</f>
        <v>7.25</v>
      </c>
    </row>
    <row r="60" spans="1:8">
      <c r="B60" s="314" t="str">
        <f>'Custom Hire'!B43</f>
        <v>Combine grass seed</v>
      </c>
      <c r="C60" s="314"/>
      <c r="D60" s="243">
        <f>'Custom Hire'!E43</f>
        <v>1</v>
      </c>
      <c r="E60" s="146">
        <f>'Custom Hire'!C43</f>
        <v>32.5</v>
      </c>
      <c r="F60" s="49" t="str">
        <f>'Custom Hire'!D43</f>
        <v>per acre</v>
      </c>
      <c r="G60" s="49" t="str">
        <f>IF(F60="per acre","",IF(F60="per bale",$D$7*2000/Inputs!$K$25,$D$7))</f>
        <v/>
      </c>
      <c r="H60" s="146">
        <f>E60*MAX(D60,G60)</f>
        <v>32.5</v>
      </c>
    </row>
    <row r="61" spans="1:8">
      <c r="B61" s="314" t="str">
        <f>'Custom Hire'!B44</f>
        <v>Haul grain or seed from bin to market</v>
      </c>
      <c r="C61" s="314"/>
      <c r="D61" s="243">
        <f>'Custom Hire'!E44</f>
        <v>0</v>
      </c>
      <c r="E61" s="146">
        <f>'Custom Hire'!C44</f>
        <v>0.04</v>
      </c>
      <c r="F61" s="49" t="str">
        <f>'Custom Hire'!D44</f>
        <v>per pound</v>
      </c>
      <c r="G61" s="49">
        <f>IF(F61="per acre","",IF(F61="per bale",$D$7*2000/Inputs!$K$25,$D$7))</f>
        <v>300</v>
      </c>
      <c r="H61" s="146">
        <f>E61*MAX(D61,G61)</f>
        <v>12</v>
      </c>
    </row>
    <row r="62" spans="1:8">
      <c r="B62" s="312" t="str">
        <f>'Custom Hire'!B45</f>
        <v>Move round (or large square) bales locally</v>
      </c>
      <c r="C62" s="312"/>
      <c r="D62" s="220">
        <f>'Custom Hire'!E45</f>
        <v>0</v>
      </c>
      <c r="E62" s="147">
        <f>'Custom Hire'!C45</f>
        <v>6.5</v>
      </c>
      <c r="F62" s="137" t="str">
        <f>'Custom Hire'!D45</f>
        <v>per bale</v>
      </c>
      <c r="G62" s="137">
        <f>IF(F62="per acre","",IF(F62="per bale",$D$8*2000/Inputs!$K$25,$D$7))</f>
        <v>3.75</v>
      </c>
      <c r="H62" s="147">
        <f>E62*MAX(D62,G62)</f>
        <v>24.375</v>
      </c>
    </row>
    <row r="63" spans="1:8">
      <c r="B63" s="45" t="s">
        <v>468</v>
      </c>
      <c r="C63" s="49"/>
      <c r="D63" s="45"/>
      <c r="E63" s="49"/>
      <c r="F63" s="49"/>
      <c r="G63" s="49"/>
      <c r="H63" s="146">
        <f>SUM(H59:H62)</f>
        <v>76.125</v>
      </c>
    </row>
    <row r="64" spans="1:8">
      <c r="B64" s="139"/>
      <c r="C64" s="139"/>
      <c r="D64" s="140"/>
      <c r="E64" s="139"/>
      <c r="F64" s="139"/>
      <c r="G64" s="139"/>
      <c r="H64" s="259"/>
    </row>
    <row r="65" spans="2:8">
      <c r="B65" s="49" t="s">
        <v>772</v>
      </c>
      <c r="C65" s="160" t="s">
        <v>704</v>
      </c>
      <c r="D65" s="143"/>
      <c r="E65" s="30"/>
      <c r="F65" s="30"/>
      <c r="G65" s="30"/>
      <c r="H65" s="29"/>
    </row>
    <row r="66" spans="2:8">
      <c r="B66" s="25"/>
      <c r="C66" s="26" t="s">
        <v>394</v>
      </c>
      <c r="D66" s="26" t="s">
        <v>395</v>
      </c>
      <c r="E66" s="26" t="s">
        <v>422</v>
      </c>
      <c r="F66" s="26" t="s">
        <v>423</v>
      </c>
      <c r="G66" s="26"/>
      <c r="H66" s="26" t="s">
        <v>424</v>
      </c>
    </row>
    <row r="67" spans="2:8">
      <c r="B67" s="25"/>
      <c r="C67" s="26" t="s">
        <v>425</v>
      </c>
      <c r="D67" s="26" t="s">
        <v>426</v>
      </c>
      <c r="E67" s="26" t="s">
        <v>720</v>
      </c>
      <c r="F67" s="26" t="s">
        <v>433</v>
      </c>
      <c r="G67" s="26" t="s">
        <v>698</v>
      </c>
      <c r="H67" s="26" t="s">
        <v>427</v>
      </c>
    </row>
    <row r="68" spans="2:8">
      <c r="B68" s="27" t="s">
        <v>397</v>
      </c>
      <c r="C68" s="28" t="s">
        <v>398</v>
      </c>
      <c r="D68" s="28" t="s">
        <v>398</v>
      </c>
      <c r="E68" s="28" t="s">
        <v>428</v>
      </c>
      <c r="F68" s="28" t="s">
        <v>428</v>
      </c>
      <c r="G68" s="28" t="s">
        <v>398</v>
      </c>
      <c r="H68" s="28" t="s">
        <v>721</v>
      </c>
    </row>
    <row r="69" spans="2:8">
      <c r="B69" s="163" t="str">
        <f>CONCATENATE(Equipment!B70," - ",Equipment!C70)</f>
        <v>Disk mower, 9 Ft - 105 HP MFWD</v>
      </c>
      <c r="C69" s="130">
        <f>Equipment!E70</f>
        <v>0.18509615384615383</v>
      </c>
      <c r="D69" s="130">
        <f>Equipment!D70</f>
        <v>0.89586538461538467</v>
      </c>
      <c r="E69" s="130">
        <f>Equipment!F70</f>
        <v>8.3941105769230759</v>
      </c>
      <c r="F69" s="130">
        <f>Equipment!G70</f>
        <v>6.4328804555822021</v>
      </c>
      <c r="G69" s="131">
        <f>Equipment!H70</f>
        <v>1</v>
      </c>
      <c r="H69" s="130">
        <f>Equipment!I70</f>
        <v>14.826991032505278</v>
      </c>
    </row>
    <row r="70" spans="2:8">
      <c r="B70" s="163" t="str">
        <f>CONCATENATE(Equipment!B71," - ",Equipment!C71)</f>
        <v>Hay rake, 30 Ft Folding - 75 HP TWD</v>
      </c>
      <c r="C70" s="26">
        <f>Equipment!E71</f>
        <v>4.3828125000000002E-2</v>
      </c>
      <c r="D70" s="26">
        <f>Equipment!D71</f>
        <v>0.1559765625</v>
      </c>
      <c r="E70" s="26">
        <f>Equipment!F71</f>
        <v>1.6381674096977312</v>
      </c>
      <c r="F70" s="26">
        <f>Equipment!G71</f>
        <v>1.6794004194562353</v>
      </c>
      <c r="G70" s="132">
        <f>Equipment!H71</f>
        <v>1</v>
      </c>
      <c r="H70" s="26">
        <f>Equipment!I71</f>
        <v>3.3175678291539663</v>
      </c>
    </row>
    <row r="71" spans="2:8">
      <c r="B71" s="163" t="str">
        <f>CONCATENATE(Equipment!B72," - ",Equipment!C72)</f>
        <v>Round baler w/net wrap, 30 Ft - 105 HP MFWD</v>
      </c>
      <c r="C71" s="26">
        <f>Equipment!E72</f>
        <v>9.3923076923076942E-2</v>
      </c>
      <c r="D71" s="26">
        <f>Equipment!D72</f>
        <v>0.43001538461538469</v>
      </c>
      <c r="E71" s="26">
        <f>Equipment!F72</f>
        <v>12.539465770064556</v>
      </c>
      <c r="F71" s="26">
        <f>Equipment!G72</f>
        <v>6.2576938620903029</v>
      </c>
      <c r="G71" s="132">
        <f>Equipment!H72</f>
        <v>1</v>
      </c>
      <c r="H71" s="26">
        <f>Equipment!I72</f>
        <v>18.797159632154859</v>
      </c>
    </row>
    <row r="72" spans="2:8">
      <c r="B72" s="164" t="str">
        <f>Equipment!B74</f>
        <v>Pickup truck</v>
      </c>
      <c r="C72" s="28"/>
      <c r="D72" s="28"/>
      <c r="E72" s="28">
        <f>Equipment!F74</f>
        <v>7</v>
      </c>
      <c r="F72" s="28">
        <f>Equipment!G74</f>
        <v>7</v>
      </c>
      <c r="G72" s="133"/>
      <c r="H72" s="28">
        <f>Equipment!I74</f>
        <v>14</v>
      </c>
    </row>
    <row r="73" spans="2:8">
      <c r="B73" s="26" t="s">
        <v>468</v>
      </c>
      <c r="C73" s="26">
        <f>SUMPRODUCT(C69:C71,$G$69:$G$71)</f>
        <v>0.32284735576923074</v>
      </c>
      <c r="D73" s="26">
        <f>SUMPRODUCT(D69:D71,$G$69:$G$71)</f>
        <v>1.4818573317307693</v>
      </c>
      <c r="E73" s="26">
        <f>SUMPRODUCT(E69:E71,$G$69:$G$71)+E72</f>
        <v>29.571743756685365</v>
      </c>
      <c r="F73" s="26">
        <f>SUMPRODUCT(F69:F71,$G$69:$G$71)+F72</f>
        <v>21.369974737128739</v>
      </c>
      <c r="G73" s="132">
        <f t="shared" ref="G73" si="2">SUM(G69:G71)</f>
        <v>3</v>
      </c>
      <c r="H73" s="26">
        <f>SUM(H69:H72)</f>
        <v>50.941718493814108</v>
      </c>
    </row>
    <row r="74" spans="2:8">
      <c r="B74" s="49" t="s">
        <v>776</v>
      </c>
      <c r="C74" s="49"/>
      <c r="D74" s="49"/>
      <c r="E74" s="49"/>
      <c r="F74" s="49"/>
      <c r="G74" s="49"/>
      <c r="H74" s="139"/>
    </row>
    <row r="75" spans="2:8">
      <c r="B75" s="49" t="s">
        <v>777</v>
      </c>
      <c r="C75" s="49"/>
      <c r="D75" s="49"/>
      <c r="E75" s="49"/>
      <c r="F75" s="49"/>
      <c r="G75" s="49"/>
      <c r="H75" s="49"/>
    </row>
    <row r="76" spans="2:8">
      <c r="B76" s="49" t="s">
        <v>778</v>
      </c>
      <c r="C76" s="49"/>
      <c r="D76" s="49"/>
      <c r="E76" s="49"/>
      <c r="F76" s="49"/>
      <c r="G76" s="49"/>
      <c r="H76" s="169"/>
    </row>
    <row r="77" spans="2:8">
      <c r="B77" s="49"/>
      <c r="C77" s="49"/>
      <c r="D77" s="49"/>
      <c r="E77" s="49"/>
      <c r="F77" s="49"/>
      <c r="G77" s="49"/>
      <c r="H77" s="49"/>
    </row>
    <row r="78" spans="2:8">
      <c r="B78" s="49"/>
      <c r="C78" s="49"/>
      <c r="D78" s="49"/>
      <c r="E78" s="49"/>
      <c r="F78" s="49"/>
      <c r="G78" s="49"/>
      <c r="H78" s="49"/>
    </row>
    <row r="79" spans="2:8">
      <c r="B79" s="49" t="s">
        <v>725</v>
      </c>
      <c r="C79" s="49"/>
      <c r="D79" s="49"/>
      <c r="E79" s="49"/>
      <c r="F79" s="49"/>
      <c r="G79" s="49"/>
      <c r="H79" s="49"/>
    </row>
    <row r="80" spans="2:8">
      <c r="B80" s="49" t="s">
        <v>726</v>
      </c>
      <c r="C80" s="49"/>
      <c r="D80" s="49"/>
      <c r="E80" s="49"/>
      <c r="F80" s="49"/>
      <c r="G80" s="49"/>
      <c r="H80" s="49"/>
    </row>
    <row r="81" spans="2:8">
      <c r="B81" s="49" t="s">
        <v>727</v>
      </c>
      <c r="C81" s="49"/>
      <c r="D81" s="49"/>
      <c r="E81" s="49"/>
      <c r="F81" s="49"/>
      <c r="G81" s="49"/>
      <c r="H81" s="49"/>
    </row>
    <row r="82" spans="2:8">
      <c r="B82" s="49" t="s">
        <v>728</v>
      </c>
      <c r="C82" s="49"/>
      <c r="D82" s="49"/>
      <c r="E82" s="49"/>
      <c r="F82" s="49"/>
      <c r="G82" s="49"/>
      <c r="H82" s="49"/>
    </row>
  </sheetData>
  <sheetProtection sheet="1" objects="1" scenarios="1" selectLockedCells="1"/>
  <protectedRanges>
    <protectedRange sqref="D10:E10 F1 F21:F22 F27" name="Grey edit cells"/>
  </protectedRanges>
  <mergeCells count="6">
    <mergeCell ref="B62:C62"/>
    <mergeCell ref="B3:F3"/>
    <mergeCell ref="B58:C58"/>
    <mergeCell ref="B59:C59"/>
    <mergeCell ref="B60:C60"/>
    <mergeCell ref="B61:C61"/>
  </mergeCells>
  <conditionalFormatting sqref="B69:B71">
    <cfRule type="expression" dxfId="4" priority="4" stopIfTrue="1">
      <formula>MID($A49,1,4)="Rent"</formula>
    </cfRule>
  </conditionalFormatting>
  <conditionalFormatting sqref="B72">
    <cfRule type="expression" dxfId="3" priority="6" stopIfTrue="1">
      <formula>MID($A56,1,4)="Rent"</formula>
    </cfRule>
  </conditionalFormatting>
  <conditionalFormatting sqref="B73">
    <cfRule type="expression" dxfId="2" priority="1" stopIfTrue="1">
      <formula>MID($A73,1,4)="Rent"</formula>
    </cfRule>
  </conditionalFormatting>
  <conditionalFormatting sqref="C13:D23 C27:D28">
    <cfRule type="expression" dxfId="1" priority="33">
      <formula>$F$1="no"</formula>
    </cfRule>
  </conditionalFormatting>
  <conditionalFormatting sqref="C24:D24 D25 C26:D26">
    <cfRule type="expression" dxfId="0" priority="2">
      <formula>$F$1="No"</formula>
    </cfRule>
  </conditionalFormatting>
  <dataValidations count="1">
    <dataValidation type="list" allowBlank="1" showInputMessage="1" showErrorMessage="1" sqref="F1" xr:uid="{C2865B3B-05EC-4364-8B7D-41117B15A04C}">
      <formula1>"Yes,No"</formula1>
    </dataValidation>
  </dataValidations>
  <pageMargins left="0.7" right="0.7" top="0.75" bottom="0.75" header="0.3" footer="0.3"/>
  <pageSetup scale="85" orientation="portrait" r:id="rId1"/>
  <headerFooter>
    <oddFooter>&amp;C&amp;"Verdana,Regular"&amp;8The Crop Budget Generator is a product of the Food and Agricultural Policy Research Institute at the University of Missouri
www.fapri.missouri.edu</oddFooter>
  </headerFooter>
  <ignoredErrors>
    <ignoredError sqref="F23:F26" unlockedFormula="1"/>
    <ignoredError sqref="E7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Introduction</vt:lpstr>
      <vt:lpstr>Inputs</vt:lpstr>
      <vt:lpstr>Alfalfa Establishment</vt:lpstr>
      <vt:lpstr>Alfalfa Small Squares</vt:lpstr>
      <vt:lpstr>Alfalfa Baleage</vt:lpstr>
      <vt:lpstr>Corn Silage</vt:lpstr>
      <vt:lpstr>Pasture Establishment</vt:lpstr>
      <vt:lpstr>Mixed Hay</vt:lpstr>
      <vt:lpstr>Fescue Seed+Forage</vt:lpstr>
      <vt:lpstr>Equipment</vt:lpstr>
      <vt:lpstr>Custom Hire</vt:lpstr>
      <vt:lpstr>CustomActivities</vt:lpstr>
      <vt:lpstr>CustomImps</vt:lpstr>
      <vt:lpstr>ImplSel</vt:lpstr>
      <vt:lpstr>PowerSel</vt:lpstr>
      <vt:lpstr>'Alfalfa Baleage'!Print_Area</vt:lpstr>
      <vt:lpstr>'Alfalfa Establishment'!Print_Area</vt:lpstr>
      <vt:lpstr>'Alfalfa Small Squares'!Print_Area</vt:lpstr>
      <vt:lpstr>'Corn Silage'!Print_Area</vt:lpstr>
      <vt:lpstr>'Fescue Seed+Forage'!Print_Area</vt:lpstr>
      <vt:lpstr>'Mixed Hay'!Print_Area</vt:lpstr>
      <vt:lpstr>'Pasture Establishment'!Print_Area</vt:lpstr>
      <vt:lpstr>ww</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Raymond E. Massey</dc:creator>
  <cp:keywords/>
  <dc:description/>
  <cp:lastModifiedBy>Milhollin, Ryan K.</cp:lastModifiedBy>
  <cp:revision/>
  <dcterms:created xsi:type="dcterms:W3CDTF">2014-11-07T21:30:57Z</dcterms:created>
  <dcterms:modified xsi:type="dcterms:W3CDTF">2023-10-18T20:47:39Z</dcterms:modified>
  <cp:category/>
  <cp:contentStatus/>
</cp:coreProperties>
</file>