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C:\Users\knappv\Downloads\"/>
    </mc:Choice>
  </mc:AlternateContent>
  <xr:revisionPtr revIDLastSave="0" documentId="13_ncr:1_{35416148-5E48-4077-9662-93C3CA601122}" xr6:coauthVersionLast="47" xr6:coauthVersionMax="47" xr10:uidLastSave="{00000000-0000-0000-0000-000000000000}"/>
  <bookViews>
    <workbookView xWindow="1710" yWindow="1215" windowWidth="27090" windowHeight="14985" xr2:uid="{592304DE-7B8E-4C50-83BF-5CA3DFEE4B5C}"/>
  </bookViews>
  <sheets>
    <sheet name="Introduction" sheetId="6" r:id="rId1"/>
    <sheet name="Establishment" sheetId="7" r:id="rId2"/>
    <sheet name="10 hives" sheetId="1" r:id="rId3"/>
    <sheet name="20 hives" sheetId="11" r:id="rId4"/>
    <sheet name="30 hives" sheetId="12" r:id="rId5"/>
    <sheet name="Sources - Establishment" sheetId="10" state="hidden" r:id="rId6"/>
    <sheet name="Sources - Production" sheetId="9" state="hidden"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8" i="11" l="1"/>
  <c r="G28" i="11"/>
  <c r="F27" i="11"/>
  <c r="L9" i="7" l="1"/>
  <c r="P9" i="7" s="1"/>
  <c r="M35" i="11"/>
  <c r="O9" i="7" l="1"/>
  <c r="F25" i="12"/>
  <c r="M37" i="12"/>
  <c r="M35" i="1" l="1"/>
  <c r="Q35" i="1" s="1"/>
  <c r="Q35" i="11"/>
  <c r="M36" i="12"/>
  <c r="P36" i="12" s="1"/>
  <c r="M35" i="12"/>
  <c r="P35" i="12" s="1"/>
  <c r="M34" i="12"/>
  <c r="P34" i="12" s="1"/>
  <c r="M36" i="11"/>
  <c r="P36" i="11" s="1"/>
  <c r="M34" i="11"/>
  <c r="Q36" i="1"/>
  <c r="Q34" i="1"/>
  <c r="M36" i="1"/>
  <c r="P36" i="1" s="1"/>
  <c r="M34" i="1"/>
  <c r="M20" i="12"/>
  <c r="Q20" i="12" s="1"/>
  <c r="F22" i="12"/>
  <c r="G22" i="12" s="1"/>
  <c r="M19" i="12"/>
  <c r="P19" i="12" s="1"/>
  <c r="M13" i="12"/>
  <c r="P13" i="12" s="1"/>
  <c r="M12" i="12"/>
  <c r="P12" i="12" s="1"/>
  <c r="M7" i="12"/>
  <c r="Q7" i="12" s="1"/>
  <c r="M18" i="11"/>
  <c r="P18" i="11" s="1"/>
  <c r="Q18" i="11" l="1"/>
  <c r="Q35" i="12"/>
  <c r="P34" i="11"/>
  <c r="P34" i="1"/>
  <c r="P35" i="1"/>
  <c r="P35" i="11"/>
  <c r="Q36" i="12"/>
  <c r="Q34" i="12"/>
  <c r="Q36" i="11"/>
  <c r="Q34" i="11"/>
  <c r="P7" i="12"/>
  <c r="Q12" i="12"/>
  <c r="Q13" i="12"/>
  <c r="Q19" i="12"/>
  <c r="P20" i="12"/>
  <c r="M20" i="11"/>
  <c r="P20" i="11" s="1"/>
  <c r="P20" i="1"/>
  <c r="Q20" i="1"/>
  <c r="M20" i="1"/>
  <c r="L18" i="7"/>
  <c r="O18" i="7" s="1"/>
  <c r="M7" i="11"/>
  <c r="Q7" i="11" s="1"/>
  <c r="P13" i="11"/>
  <c r="Q13" i="11"/>
  <c r="P12" i="11"/>
  <c r="Q12" i="11"/>
  <c r="M13" i="11"/>
  <c r="M12" i="11"/>
  <c r="F22" i="11"/>
  <c r="G22" i="11" s="1"/>
  <c r="M17" i="1"/>
  <c r="P17" i="1" s="1"/>
  <c r="F22" i="1"/>
  <c r="M13" i="1"/>
  <c r="Q13" i="1" s="1"/>
  <c r="M12" i="1"/>
  <c r="P12" i="1" s="1"/>
  <c r="M7" i="1"/>
  <c r="Q7" i="1" s="1"/>
  <c r="L11" i="7"/>
  <c r="P11" i="7" s="1"/>
  <c r="L12" i="7"/>
  <c r="O12" i="7" s="1"/>
  <c r="L7" i="7"/>
  <c r="O7" i="7" s="1"/>
  <c r="F6" i="7"/>
  <c r="L17" i="7"/>
  <c r="O17" i="7" s="1"/>
  <c r="D7" i="11"/>
  <c r="H26" i="11" s="1"/>
  <c r="D7" i="12"/>
  <c r="H26" i="12" s="1"/>
  <c r="G32" i="12"/>
  <c r="M31" i="12"/>
  <c r="P31" i="12" s="1"/>
  <c r="M30" i="12"/>
  <c r="Q30" i="12" s="1"/>
  <c r="G26" i="12"/>
  <c r="M29" i="12"/>
  <c r="P29" i="12" s="1"/>
  <c r="G25" i="12"/>
  <c r="M28" i="12"/>
  <c r="P28" i="12" s="1"/>
  <c r="M27" i="12"/>
  <c r="Q27" i="12" s="1"/>
  <c r="F23" i="12"/>
  <c r="M26" i="12"/>
  <c r="Q26" i="12" s="1"/>
  <c r="F21" i="12"/>
  <c r="G21" i="12" s="1"/>
  <c r="M25" i="12"/>
  <c r="Q25" i="12" s="1"/>
  <c r="F20" i="12"/>
  <c r="G20" i="12" s="1"/>
  <c r="F19" i="12"/>
  <c r="G19" i="12" s="1"/>
  <c r="F18" i="12"/>
  <c r="G18" i="12" s="1"/>
  <c r="M22" i="12"/>
  <c r="Q22" i="12" s="1"/>
  <c r="F17" i="12"/>
  <c r="M21" i="12"/>
  <c r="Q21" i="12" s="1"/>
  <c r="F16" i="12"/>
  <c r="M18" i="12"/>
  <c r="Q18" i="12" s="1"/>
  <c r="F15" i="12"/>
  <c r="M17" i="12"/>
  <c r="P17" i="12" s="1"/>
  <c r="F14" i="12"/>
  <c r="M16" i="12"/>
  <c r="Q16" i="12" s="1"/>
  <c r="M15" i="12"/>
  <c r="Q15" i="12" s="1"/>
  <c r="M14" i="12"/>
  <c r="M11" i="12"/>
  <c r="Q11" i="12" s="1"/>
  <c r="F10" i="12"/>
  <c r="G10" i="12" s="1"/>
  <c r="M10" i="12"/>
  <c r="P10" i="12" s="1"/>
  <c r="F9" i="12"/>
  <c r="M9" i="12"/>
  <c r="Q9" i="12" s="1"/>
  <c r="F8" i="12"/>
  <c r="M8" i="12"/>
  <c r="G32" i="11"/>
  <c r="M31" i="11"/>
  <c r="P31" i="11" s="1"/>
  <c r="M30" i="11"/>
  <c r="P30" i="11" s="1"/>
  <c r="G26" i="11"/>
  <c r="M29" i="11"/>
  <c r="Q29" i="11" s="1"/>
  <c r="M28" i="11"/>
  <c r="P28" i="11" s="1"/>
  <c r="M27" i="11"/>
  <c r="P27" i="11" s="1"/>
  <c r="F23" i="11"/>
  <c r="G23" i="11" s="1"/>
  <c r="M26" i="11"/>
  <c r="Q26" i="11" s="1"/>
  <c r="F21" i="11"/>
  <c r="G21" i="11" s="1"/>
  <c r="M25" i="11"/>
  <c r="P25" i="11" s="1"/>
  <c r="F20" i="11"/>
  <c r="F19" i="11"/>
  <c r="G19" i="11" s="1"/>
  <c r="F18" i="11"/>
  <c r="G18" i="11" s="1"/>
  <c r="M22" i="11"/>
  <c r="Q22" i="11" s="1"/>
  <c r="F17" i="11"/>
  <c r="M21" i="11"/>
  <c r="Q21" i="11" s="1"/>
  <c r="F16" i="11"/>
  <c r="G16" i="11" s="1"/>
  <c r="M19" i="11"/>
  <c r="P19" i="11" s="1"/>
  <c r="F15" i="11"/>
  <c r="M17" i="11"/>
  <c r="F14" i="11"/>
  <c r="G14" i="11" s="1"/>
  <c r="M16" i="11"/>
  <c r="P16" i="11" s="1"/>
  <c r="M15" i="11"/>
  <c r="Q15" i="11" s="1"/>
  <c r="M14" i="11"/>
  <c r="Q14" i="11" s="1"/>
  <c r="M11" i="11"/>
  <c r="P11" i="11" s="1"/>
  <c r="F10" i="11"/>
  <c r="M10" i="11"/>
  <c r="P10" i="11" s="1"/>
  <c r="F9" i="11"/>
  <c r="G9" i="11" s="1"/>
  <c r="M9" i="11"/>
  <c r="Q9" i="11" s="1"/>
  <c r="F8" i="11"/>
  <c r="M8" i="11"/>
  <c r="G20" i="7"/>
  <c r="G14" i="7"/>
  <c r="G32" i="1"/>
  <c r="I23" i="10"/>
  <c r="I22" i="10"/>
  <c r="F27" i="10"/>
  <c r="G27" i="10" s="1"/>
  <c r="F26" i="10"/>
  <c r="G26" i="10" s="1"/>
  <c r="F25" i="10"/>
  <c r="G25" i="10" s="1"/>
  <c r="F24" i="10"/>
  <c r="G24" i="10" s="1"/>
  <c r="G23" i="10"/>
  <c r="F23" i="10"/>
  <c r="F22" i="10"/>
  <c r="G22" i="10" s="1"/>
  <c r="F21" i="10"/>
  <c r="G21" i="10" s="1"/>
  <c r="F20" i="10"/>
  <c r="G20" i="10" s="1"/>
  <c r="F19" i="10"/>
  <c r="G19" i="10" s="1"/>
  <c r="F18" i="10"/>
  <c r="G18" i="10" s="1"/>
  <c r="F17" i="10"/>
  <c r="G17" i="10" s="1"/>
  <c r="F16" i="10"/>
  <c r="L13" i="10"/>
  <c r="O13" i="10" s="1"/>
  <c r="P12" i="10"/>
  <c r="O12" i="10"/>
  <c r="L12" i="10"/>
  <c r="L11" i="10"/>
  <c r="P11" i="10" s="1"/>
  <c r="F11" i="10"/>
  <c r="L10" i="10"/>
  <c r="P10" i="10" s="1"/>
  <c r="G10" i="10"/>
  <c r="F10" i="10"/>
  <c r="L9" i="10"/>
  <c r="O9" i="10" s="1"/>
  <c r="F9" i="10"/>
  <c r="G9" i="10" s="1"/>
  <c r="L8" i="10"/>
  <c r="P8" i="10" s="1"/>
  <c r="F8" i="10"/>
  <c r="G8" i="10" s="1"/>
  <c r="L7" i="10"/>
  <c r="P7" i="10" s="1"/>
  <c r="F7" i="10"/>
  <c r="G7" i="10" s="1"/>
  <c r="L6" i="10"/>
  <c r="P6" i="10" s="1"/>
  <c r="F6" i="10"/>
  <c r="G31" i="9"/>
  <c r="Q27" i="9"/>
  <c r="P27" i="9"/>
  <c r="M27" i="9"/>
  <c r="M26" i="9"/>
  <c r="Q26" i="9" s="1"/>
  <c r="Q25" i="9"/>
  <c r="P25" i="9"/>
  <c r="M25" i="9"/>
  <c r="G25" i="9"/>
  <c r="M24" i="9"/>
  <c r="P24" i="9" s="1"/>
  <c r="G24" i="9"/>
  <c r="M23" i="9"/>
  <c r="Q23" i="9" s="1"/>
  <c r="M22" i="9"/>
  <c r="P22" i="9" s="1"/>
  <c r="F22" i="9"/>
  <c r="H22" i="9" s="1"/>
  <c r="M21" i="9"/>
  <c r="Q21" i="9" s="1"/>
  <c r="F21" i="9"/>
  <c r="G21" i="9" s="1"/>
  <c r="M20" i="9"/>
  <c r="Q20" i="9" s="1"/>
  <c r="F20" i="9"/>
  <c r="G20" i="9" s="1"/>
  <c r="F19" i="9"/>
  <c r="F18" i="9"/>
  <c r="H18" i="9" s="1"/>
  <c r="Q17" i="9"/>
  <c r="M17" i="9"/>
  <c r="P17" i="9" s="1"/>
  <c r="F17" i="9"/>
  <c r="H17" i="9" s="1"/>
  <c r="M16" i="9"/>
  <c r="P16" i="9" s="1"/>
  <c r="F16" i="9"/>
  <c r="H16" i="9" s="1"/>
  <c r="M15" i="9"/>
  <c r="P15" i="9" s="1"/>
  <c r="G15" i="9"/>
  <c r="F15" i="9"/>
  <c r="P14" i="9"/>
  <c r="M14" i="9"/>
  <c r="Q14" i="9" s="1"/>
  <c r="F14" i="9"/>
  <c r="Q13" i="9"/>
  <c r="M13" i="9"/>
  <c r="P13" i="9" s="1"/>
  <c r="Q12" i="9"/>
  <c r="P12" i="9"/>
  <c r="M12" i="9"/>
  <c r="M11" i="9"/>
  <c r="Q11" i="9" s="1"/>
  <c r="M10" i="9"/>
  <c r="P10" i="9" s="1"/>
  <c r="H10" i="9"/>
  <c r="G10" i="9"/>
  <c r="F10" i="9"/>
  <c r="M9" i="9"/>
  <c r="Q9" i="9" s="1"/>
  <c r="F9" i="9"/>
  <c r="H9" i="9" s="1"/>
  <c r="M8" i="9"/>
  <c r="P8" i="9" s="1"/>
  <c r="F8" i="9"/>
  <c r="H8" i="9" s="1"/>
  <c r="M7" i="9"/>
  <c r="Q7" i="9" s="1"/>
  <c r="D7" i="9"/>
  <c r="H25" i="9" s="1"/>
  <c r="F12" i="7"/>
  <c r="F23" i="1"/>
  <c r="G23" i="1" s="1"/>
  <c r="M22" i="1"/>
  <c r="Q22" i="1" s="1"/>
  <c r="G14" i="12" l="1"/>
  <c r="F27" i="12"/>
  <c r="G6" i="7"/>
  <c r="P17" i="11"/>
  <c r="M37" i="11"/>
  <c r="F25" i="11" s="1"/>
  <c r="G25" i="11" s="1"/>
  <c r="P7" i="7"/>
  <c r="P18" i="7"/>
  <c r="H17" i="12"/>
  <c r="H16" i="12"/>
  <c r="P12" i="7"/>
  <c r="O11" i="7"/>
  <c r="Q17" i="1"/>
  <c r="H22" i="12"/>
  <c r="P14" i="12"/>
  <c r="P7" i="11"/>
  <c r="Q20" i="11"/>
  <c r="H9" i="12"/>
  <c r="Q28" i="12"/>
  <c r="H15" i="12"/>
  <c r="H22" i="11"/>
  <c r="G22" i="1"/>
  <c r="P7" i="1"/>
  <c r="Q12" i="1"/>
  <c r="P13" i="1"/>
  <c r="P17" i="7"/>
  <c r="Q29" i="12"/>
  <c r="G9" i="12"/>
  <c r="Q19" i="11"/>
  <c r="Q28" i="11"/>
  <c r="P18" i="12"/>
  <c r="Q31" i="12"/>
  <c r="P25" i="12"/>
  <c r="Q25" i="11"/>
  <c r="Q31" i="11"/>
  <c r="Q14" i="12"/>
  <c r="P11" i="12"/>
  <c r="Q10" i="12"/>
  <c r="Q8" i="12"/>
  <c r="Q37" i="12" s="1"/>
  <c r="Q17" i="12"/>
  <c r="G16" i="12"/>
  <c r="G15" i="12"/>
  <c r="H21" i="12"/>
  <c r="H10" i="12"/>
  <c r="H8" i="12"/>
  <c r="H20" i="12"/>
  <c r="H23" i="12"/>
  <c r="Q11" i="11"/>
  <c r="Q10" i="11"/>
  <c r="Q17" i="11"/>
  <c r="H21" i="11"/>
  <c r="H19" i="11"/>
  <c r="H10" i="11"/>
  <c r="H20" i="11"/>
  <c r="H23" i="11"/>
  <c r="H16" i="11"/>
  <c r="H8" i="11"/>
  <c r="H15" i="11"/>
  <c r="H17" i="11"/>
  <c r="H19" i="12"/>
  <c r="P9" i="12"/>
  <c r="P16" i="12"/>
  <c r="P22" i="12"/>
  <c r="P37" i="12" s="1"/>
  <c r="P27" i="12"/>
  <c r="P30" i="12"/>
  <c r="H25" i="12"/>
  <c r="P8" i="12"/>
  <c r="P21" i="12"/>
  <c r="P26" i="12"/>
  <c r="H32" i="12"/>
  <c r="H14" i="12"/>
  <c r="H18" i="12"/>
  <c r="G8" i="12"/>
  <c r="P15" i="12"/>
  <c r="G17" i="12"/>
  <c r="G23" i="12"/>
  <c r="F7" i="12"/>
  <c r="P9" i="11"/>
  <c r="P22" i="11"/>
  <c r="P37" i="11" s="1"/>
  <c r="G10" i="11"/>
  <c r="Q16" i="11"/>
  <c r="G15" i="11"/>
  <c r="G20" i="11"/>
  <c r="Q27" i="11"/>
  <c r="Q30" i="11"/>
  <c r="P8" i="11"/>
  <c r="P14" i="11"/>
  <c r="P21" i="11"/>
  <c r="P26" i="11"/>
  <c r="H32" i="11"/>
  <c r="Q8" i="11"/>
  <c r="P29" i="11"/>
  <c r="H9" i="11"/>
  <c r="H14" i="11"/>
  <c r="H18" i="11"/>
  <c r="G8" i="11"/>
  <c r="P15" i="11"/>
  <c r="G17" i="11"/>
  <c r="F7" i="11"/>
  <c r="Q15" i="9"/>
  <c r="Q8" i="9"/>
  <c r="Q24" i="9"/>
  <c r="Q22" i="9"/>
  <c r="P13" i="10"/>
  <c r="L15" i="10"/>
  <c r="F30" i="10"/>
  <c r="F32" i="10" s="1"/>
  <c r="F13" i="10"/>
  <c r="P15" i="10"/>
  <c r="O7" i="10"/>
  <c r="G11" i="10"/>
  <c r="O11" i="10"/>
  <c r="O10" i="10"/>
  <c r="G16" i="10"/>
  <c r="G30" i="10" s="1"/>
  <c r="O8" i="10"/>
  <c r="G6" i="10"/>
  <c r="G13" i="10" s="1"/>
  <c r="O6" i="10"/>
  <c r="P9" i="10"/>
  <c r="H19" i="9"/>
  <c r="G19" i="9"/>
  <c r="H20" i="9"/>
  <c r="G8" i="9"/>
  <c r="Q10" i="9"/>
  <c r="G17" i="9"/>
  <c r="P20" i="9"/>
  <c r="Q16" i="9"/>
  <c r="P23" i="9"/>
  <c r="H31" i="9"/>
  <c r="P26" i="9"/>
  <c r="H14" i="9"/>
  <c r="P11" i="9"/>
  <c r="H24" i="9"/>
  <c r="P7" i="9"/>
  <c r="H21" i="9"/>
  <c r="G14" i="9"/>
  <c r="H15" i="9"/>
  <c r="G9" i="9"/>
  <c r="G18" i="9"/>
  <c r="P21" i="9"/>
  <c r="F7" i="9"/>
  <c r="P9" i="9"/>
  <c r="G22" i="9"/>
  <c r="G16" i="9"/>
  <c r="M29" i="9"/>
  <c r="P22" i="1"/>
  <c r="F31" i="12" l="1"/>
  <c r="Q37" i="11"/>
  <c r="F31" i="11" s="1"/>
  <c r="H25" i="11"/>
  <c r="F11" i="12"/>
  <c r="G7" i="12"/>
  <c r="G11" i="12" s="1"/>
  <c r="H7" i="12"/>
  <c r="F11" i="11"/>
  <c r="H7" i="11"/>
  <c r="G7" i="11"/>
  <c r="G11" i="11" s="1"/>
  <c r="P29" i="9"/>
  <c r="Q29" i="9"/>
  <c r="O15" i="10"/>
  <c r="G32" i="10"/>
  <c r="H7" i="9"/>
  <c r="G7" i="9"/>
  <c r="G11" i="9" s="1"/>
  <c r="F11" i="9"/>
  <c r="F33" i="12" l="1"/>
  <c r="F24" i="12"/>
  <c r="H11" i="12"/>
  <c r="H11" i="11"/>
  <c r="F24" i="11"/>
  <c r="F30" i="9"/>
  <c r="G30" i="9" s="1"/>
  <c r="G32" i="9" s="1"/>
  <c r="F23" i="9"/>
  <c r="H11" i="9"/>
  <c r="F32" i="9"/>
  <c r="H31" i="12" l="1"/>
  <c r="H33" i="12" s="1"/>
  <c r="G31" i="12"/>
  <c r="G33" i="12" s="1"/>
  <c r="H24" i="12"/>
  <c r="G24" i="12"/>
  <c r="F28" i="12"/>
  <c r="H24" i="11"/>
  <c r="H37" i="11" s="1"/>
  <c r="H38" i="11" s="1"/>
  <c r="G24" i="11"/>
  <c r="G37" i="11" s="1"/>
  <c r="G38" i="11" s="1"/>
  <c r="H30" i="9"/>
  <c r="H32" i="9" s="1"/>
  <c r="H36" i="9" s="1"/>
  <c r="G23" i="9"/>
  <c r="G27" i="9" s="1"/>
  <c r="H23" i="9"/>
  <c r="H27" i="9" s="1"/>
  <c r="F26" i="9"/>
  <c r="H35" i="9"/>
  <c r="F39" i="12" l="1"/>
  <c r="F40" i="12" s="1"/>
  <c r="F37" i="12"/>
  <c r="F38" i="12" s="1"/>
  <c r="F35" i="12"/>
  <c r="H27" i="12"/>
  <c r="H28" i="12" s="1"/>
  <c r="H35" i="12" s="1"/>
  <c r="G27" i="12"/>
  <c r="G28" i="12" s="1"/>
  <c r="G39" i="12" s="1"/>
  <c r="G40" i="12" s="1"/>
  <c r="H27" i="11"/>
  <c r="G27" i="11"/>
  <c r="F28" i="11"/>
  <c r="F37" i="11" s="1"/>
  <c r="F38" i="11" s="1"/>
  <c r="H34" i="9"/>
  <c r="G26" i="9"/>
  <c r="H26" i="9"/>
  <c r="F27" i="9"/>
  <c r="G34" i="9"/>
  <c r="G36" i="9"/>
  <c r="G35" i="9"/>
  <c r="G35" i="12" l="1"/>
  <c r="H37" i="12"/>
  <c r="H38" i="12" s="1"/>
  <c r="H39" i="12"/>
  <c r="H40" i="12" s="1"/>
  <c r="G37" i="12"/>
  <c r="G38" i="12" s="1"/>
  <c r="F34" i="9"/>
  <c r="F36" i="9"/>
  <c r="F35" i="9"/>
  <c r="L10" i="7" l="1"/>
  <c r="O10" i="7" s="1"/>
  <c r="L13" i="7"/>
  <c r="L14" i="7"/>
  <c r="L16" i="7"/>
  <c r="O16" i="7" s="1"/>
  <c r="L15" i="7"/>
  <c r="P15" i="7" s="1"/>
  <c r="L8" i="7"/>
  <c r="F7" i="7"/>
  <c r="L20" i="7"/>
  <c r="O20" i="7" s="1"/>
  <c r="L19" i="7"/>
  <c r="P19" i="7" s="1"/>
  <c r="F8" i="7"/>
  <c r="F9" i="7"/>
  <c r="G9" i="7" s="1"/>
  <c r="F11" i="7"/>
  <c r="G11" i="7" s="1"/>
  <c r="F10" i="7"/>
  <c r="G10" i="7" s="1"/>
  <c r="G8" i="7" l="1"/>
  <c r="L21" i="7"/>
  <c r="F13" i="7" s="1"/>
  <c r="G12" i="7"/>
  <c r="P8" i="7"/>
  <c r="O8" i="7"/>
  <c r="P10" i="7"/>
  <c r="O14" i="7"/>
  <c r="P14" i="7"/>
  <c r="O13" i="7"/>
  <c r="P13" i="7"/>
  <c r="O15" i="7"/>
  <c r="G7" i="7"/>
  <c r="P20" i="7"/>
  <c r="P16" i="7"/>
  <c r="O19" i="7"/>
  <c r="D7" i="1"/>
  <c r="H22" i="1" s="1"/>
  <c r="F20" i="1"/>
  <c r="M30" i="1"/>
  <c r="M26" i="1"/>
  <c r="Q26" i="1" s="1"/>
  <c r="M19" i="1"/>
  <c r="Q19" i="1" s="1"/>
  <c r="M18" i="1"/>
  <c r="Q18" i="1" s="1"/>
  <c r="M16" i="1"/>
  <c r="Q16" i="1" s="1"/>
  <c r="G13" i="7" l="1"/>
  <c r="F15" i="7"/>
  <c r="G15" i="7" s="1"/>
  <c r="Q30" i="1"/>
  <c r="P21" i="7"/>
  <c r="O21" i="7"/>
  <c r="F7" i="1"/>
  <c r="H23" i="1"/>
  <c r="G20" i="1"/>
  <c r="P30" i="1"/>
  <c r="P26" i="1"/>
  <c r="P19" i="1"/>
  <c r="P18" i="1"/>
  <c r="P16" i="1"/>
  <c r="G16" i="7" l="1"/>
  <c r="F16" i="7"/>
  <c r="F19" i="7"/>
  <c r="F21" i="7" s="1"/>
  <c r="M8" i="1"/>
  <c r="M9" i="1"/>
  <c r="M10" i="1"/>
  <c r="P10" i="1" s="1"/>
  <c r="M11" i="1"/>
  <c r="P11" i="1" s="1"/>
  <c r="M14" i="1"/>
  <c r="Q14" i="1" s="1"/>
  <c r="M15" i="1"/>
  <c r="P15" i="1" s="1"/>
  <c r="M21" i="1"/>
  <c r="M25" i="1"/>
  <c r="M27" i="1"/>
  <c r="P27" i="1" s="1"/>
  <c r="M28" i="1"/>
  <c r="Q28" i="1" s="1"/>
  <c r="M29" i="1"/>
  <c r="Q29" i="1" s="1"/>
  <c r="M31" i="1"/>
  <c r="Q31" i="1" s="1"/>
  <c r="P9" i="1" l="1"/>
  <c r="P37" i="1" s="1"/>
  <c r="M37" i="1"/>
  <c r="F25" i="1" s="1"/>
  <c r="F27" i="1" s="1"/>
  <c r="F23" i="7"/>
  <c r="G23" i="7" s="1"/>
  <c r="Q25" i="1"/>
  <c r="P25" i="1"/>
  <c r="P21" i="1"/>
  <c r="G19" i="7"/>
  <c r="G21" i="7" s="1"/>
  <c r="Q27" i="1"/>
  <c r="P28" i="1"/>
  <c r="Q11" i="1"/>
  <c r="Q8" i="1"/>
  <c r="P14" i="1"/>
  <c r="Q9" i="1"/>
  <c r="P8" i="1"/>
  <c r="Q10" i="1"/>
  <c r="P31" i="1"/>
  <c r="P29" i="1"/>
  <c r="Q21" i="1"/>
  <c r="Q15" i="1"/>
  <c r="Q37" i="1" l="1"/>
  <c r="F31" i="1" s="1"/>
  <c r="H20" i="1"/>
  <c r="F33" i="1" l="1"/>
  <c r="G25" i="1"/>
  <c r="G31" i="1" l="1"/>
  <c r="F21" i="1"/>
  <c r="G26" i="1"/>
  <c r="G21" i="1" l="1"/>
  <c r="F16" i="1" l="1"/>
  <c r="G16" i="1" s="1"/>
  <c r="F15" i="1"/>
  <c r="G15" i="1" s="1"/>
  <c r="F17" i="1"/>
  <c r="G17" i="1" s="1"/>
  <c r="F19" i="1"/>
  <c r="G19" i="1" s="1"/>
  <c r="F18" i="1"/>
  <c r="G18" i="1" s="1"/>
  <c r="F14" i="1"/>
  <c r="G14" i="1" l="1"/>
  <c r="H25" i="1"/>
  <c r="H26" i="1" l="1"/>
  <c r="H21" i="1"/>
  <c r="H14" i="1"/>
  <c r="H15" i="1"/>
  <c r="H17" i="1"/>
  <c r="H18" i="1"/>
  <c r="H16" i="1"/>
  <c r="H19" i="1"/>
  <c r="F8" i="1"/>
  <c r="F9" i="1"/>
  <c r="F10" i="1"/>
  <c r="H8" i="1" l="1"/>
  <c r="G8" i="1"/>
  <c r="H9" i="1"/>
  <c r="G9" i="1"/>
  <c r="H10" i="1"/>
  <c r="G10" i="1"/>
  <c r="H32" i="1"/>
  <c r="G33" i="1" l="1"/>
  <c r="H31" i="1"/>
  <c r="H33" i="1" s="1"/>
  <c r="H7" i="1"/>
  <c r="G7" i="1"/>
  <c r="G11" i="1" s="1"/>
  <c r="F11" i="1"/>
  <c r="H11" i="1" l="1"/>
  <c r="F24" i="1"/>
  <c r="F28" i="1" s="1"/>
  <c r="F35" i="1" s="1"/>
  <c r="G24" i="1" l="1"/>
  <c r="H24" i="1"/>
  <c r="H27" i="1" l="1"/>
  <c r="H28" i="1" s="1"/>
  <c r="H35" i="1" s="1"/>
  <c r="G27" i="1"/>
  <c r="G28" i="1" s="1"/>
  <c r="G35" i="1" s="1"/>
  <c r="H39" i="1" l="1"/>
  <c r="H40" i="1" s="1"/>
  <c r="H37" i="1"/>
  <c r="H38" i="1" s="1"/>
  <c r="G37" i="1"/>
  <c r="G38" i="1" s="1"/>
  <c r="G39" i="1"/>
  <c r="G40" i="1" s="1"/>
  <c r="F37" i="1"/>
  <c r="F38" i="1" s="1"/>
  <c r="F39" i="1"/>
  <c r="F40" i="1" s="1"/>
  <c r="G31" i="11" l="1"/>
  <c r="G33" i="11" s="1"/>
  <c r="G39" i="11" l="1"/>
  <c r="G40" i="11" s="1"/>
  <c r="G35" i="11"/>
  <c r="H31" i="11"/>
  <c r="H33" i="11" s="1"/>
  <c r="F33" i="11"/>
  <c r="F35" i="11" l="1"/>
  <c r="F39" i="11"/>
  <c r="F40" i="11" s="1"/>
  <c r="H39" i="11"/>
  <c r="H40" i="11" s="1"/>
  <c r="H35"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tc={CC98D50A-CC0F-41F7-A4C7-4FD4C1C1FCE1}</author>
    <author>tc={7E39A4DE-FC78-4EF1-BCA8-0649C619CE36}</author>
    <author>tc={C4751E2B-2696-435D-B840-56AA6CBECEE2}</author>
    <author>tc={530A026C-9097-47A7-AF58-647DD5F9DCCD}</author>
    <author>tc={BEC33AE3-7DFC-4504-8E61-8FDD82DA6EF5}</author>
    <author>tc={A0242F18-4157-4331-B19C-9A7AB0A6DFB3}</author>
    <author>tc={422031E0-8A18-4B8B-88A6-BC381AA8FD66}</author>
    <author>tc={92A27079-FFE4-4182-AA8D-23BEC1094614}</author>
    <author>tc={4C113650-F43A-41F0-84A2-611350BBAC35}</author>
    <author>tc={F7DD1FFA-35F6-4D86-8DCF-7034D9DD07D6}</author>
    <author>tc={C5FE6336-3EB5-4AEE-9F36-766CEE7CB096}</author>
    <author>tc={A64412C2-5147-4623-AE5C-E916D3F9E69F}</author>
    <author>tc={788461FD-36AA-4A33-81FF-AA86142D38A9}</author>
    <author>tc={2A37644D-1BA5-4ED1-8D54-84FAE97D9048}</author>
    <author>tc={C09D3045-8463-443E-BBC7-14D5A2524A34}</author>
    <author>tc={C452F886-2419-424B-817D-4E4CF829CAA9}</author>
    <author>tc={E4DB84EC-B0B5-4B73-8854-4332D1E9CCFE}</author>
    <author>tc={ACD2965F-1E2C-4DCD-9628-48A2FA961712}</author>
  </authors>
  <commentList>
    <comment ref="B6" authorId="0" shapeId="0" xr:uid="{CC98D50A-CC0F-41F7-A4C7-4FD4C1C1FCE1}">
      <text>
        <t xml:space="preserve">[Threaded comment]
Your version of Excel allows you to read this threaded comment; however, any edits to it will get removed if the file is opened in a newer version of Excel. Learn more: https://go.microsoft.com/fwlink/?linkid=870924
Comment:
    Explanation: 6 months of feeding sugar water before it's too cold - spring/summer is 1:1 ratio, winter is 2 sugar to 1 water ratio. Bees go through a 2 quart per week, which would be 4 cups of sugar. 2 cups of sugar for 4ish months is 64 cups of sugar. In fall/winter, or after last harvest of honey, which is about 1.5 months, would be roughly 24 cups of sugar. Roughly 0.440925lbs/cup of sugar. 64+24 is 88 cups of sugar. 64x0.440925lbs is 28.22 pounds of sugar per hive. Multiply this by 2 hives, this gives you 55 pounds for the feeding season.
Price for sugar: https://www.walmart.com/ip/Great-Value-Pure-Granulated-Sugar-25-Lb/10403009?athbdg=L1600&amp;from=/search </t>
      </text>
    </comment>
    <comment ref="B7" authorId="1" shapeId="0" xr:uid="{7E39A4DE-FC78-4EF1-BCA8-0649C619CE36}">
      <text>
        <t>[Threaded comment]
Your version of Excel allows you to read this threaded comment; however, any edits to it will get removed if the file is opened in a newer version of Excel. Learn more: https://go.microsoft.com/fwlink/?linkid=870924
Comment:
    Price source: https://www.dadant.com/catalog/m0016040ph-ap23-pollen-substitute-40lb-box-of-patties</t>
      </text>
    </comment>
    <comment ref="B8" authorId="2" shapeId="0" xr:uid="{C4751E2B-2696-435D-B840-56AA6CBECEE2}">
      <text>
        <t>[Threaded comment]
Your version of Excel allows you to read this threaded comment; however, any edits to it will get removed if the file is opened in a newer version of Excel. Learn more: https://go.microsoft.com/fwlink/?linkid=870924
Comment:
    Price source: https://www.dadant.com/catalog/m008085-5-lb-wood-pellet-smoker-fuel</t>
      </text>
    </comment>
    <comment ref="B9" authorId="3" shapeId="0" xr:uid="{530A026C-9097-47A7-AF58-647DD5F9DCCD}">
      <text>
        <t>[Threaded comment]
Your version of Excel allows you to read this threaded comment; however, any edits to it will get removed if the file is opened in a newer version of Excel. Learn more: https://go.microsoft.com/fwlink/?linkid=870924
Comment:
    Source: https://www.dadant.com/catalog/formic-pro-2-dose-m01464</t>
      </text>
    </comment>
    <comment ref="B10" authorId="4" shapeId="0" xr:uid="{BEC33AE3-7DFC-4504-8E61-8FDD82DA6EF5}">
      <text>
        <t>[Threaded comment]
Your version of Excel allows you to read this threaded comment; however, any edits to it will get removed if the file is opened in a newer version of Excel. Learn more: https://go.microsoft.com/fwlink/?linkid=870924
Comment:
    Source: https://www.amazon.com/dp/B08WPXDDQ4/ref=twister_B0BSFVXD3V?_encoding=UTF8&amp;th=1</t>
      </text>
    </comment>
    <comment ref="G15" authorId="5" shapeId="0" xr:uid="{A0242F18-4157-4331-B19C-9A7AB0A6DFB3}">
      <text>
        <t>[Threaded comment]
Your version of Excel allows you to read this threaded comment; however, any edits to it will get removed if the file is opened in a newer version of Excel. Learn more: https://go.microsoft.com/fwlink/?linkid=870924
Comment:
    Does this column need numbers for ownership costs?</t>
      </text>
    </comment>
    <comment ref="B16" authorId="6" shapeId="0" xr:uid="{422031E0-8A18-4B8B-88A6-BC381AA8FD66}">
      <text>
        <t xml:space="preserve">[Threaded comment]
Your version of Excel allows you to read this threaded comment; however, any edits to it will get removed if the file is opened in a newer version of Excel. Learn more: https://go.microsoft.com/fwlink/?linkid=870924
Comment:
    Source: https://www.dadant.com/catalog/m00856-j-hook-hive-tool </t>
      </text>
    </comment>
    <comment ref="B17" authorId="7" shapeId="0" xr:uid="{92A27079-FFE4-4182-AA8D-23BEC1094614}">
      <text>
        <t>[Threaded comment]
Your version of Excel allows you to read this threaded comment; however, any edits to it will get removed if the file is opened in a newer version of Excel. Learn more: https://go.microsoft.com/fwlink/?linkid=870924
Comment:
    Source: https://www.dadant.com/catalog/m00926-smoker-4-x-7-stainless-steel</t>
      </text>
    </comment>
    <comment ref="B18" authorId="8" shapeId="0" xr:uid="{4C113650-F43A-41F0-84A2-611350BBAC35}">
      <text>
        <t>[Threaded comment]
Your version of Excel allows you to read this threaded comment; however, any edits to it will get removed if the file is opened in a newer version of Excel. Learn more: https://go.microsoft.com/fwlink/?linkid=870924
Comment:
    Source: https://www.dadant.com/catalog/cricket-style-hat-veil-suit</t>
      </text>
    </comment>
    <comment ref="B19" authorId="9" shapeId="0" xr:uid="{F7DD1FFA-35F6-4D86-8DCF-7034D9DD07D6}">
      <text>
        <t>[Threaded comment]
Your version of Excel allows you to read this threaded comment; however, any edits to it will get removed if the file is opened in a newer version of Excel. Learn more: https://go.microsoft.com/fwlink/?linkid=870924
Comment:
    https://www.tractorsupply.com/tsc/product/harvest-lane-honey-beehive-deep-brood-box-complete-with-10-frames-foundation-16-1-4-in-x-19-7-8-in-x-9-1-2-in</t>
      </text>
    </comment>
    <comment ref="B20" authorId="10" shapeId="0" xr:uid="{C5FE6336-3EB5-4AEE-9F36-766CEE7CB096}">
      <text>
        <t>[Threaded comment]
Your version of Excel allows you to read this threaded comment; however, any edits to it will get removed if the file is opened in a newer version of Excel. Learn more: https://go.microsoft.com/fwlink/?linkid=870924
Comment:
    Source: https://www.tractorsupply.com/tsc/product/harvest-lane-honey-beehive-medium-honey-super-complete-with-10-frames-foundation-16-1-4-in-x-19-7-8-in-x-6-5-8-in</t>
      </text>
    </comment>
    <comment ref="B21" authorId="11" shapeId="0" xr:uid="{A64412C2-5147-4623-AE5C-E916D3F9E69F}">
      <text>
        <t>[Threaded comment]
Your version of Excel allows you to read this threaded comment; however, any edits to it will get removed if the file is opened in a newer version of Excel. Learn more: https://go.microsoft.com/fwlink/?linkid=870924
Comment:
    Source: https://www.dadant.com/catalog/4-frame-nuc-inner-cover-for-support-hive-m60035-d</t>
      </text>
    </comment>
    <comment ref="B22" authorId="12" shapeId="0" xr:uid="{788461FD-36AA-4A33-81FF-AA86142D38A9}">
      <text>
        <t>[Threaded comment]
Your version of Excel allows you to read this threaded comment; however, any edits to it will get removed if the file is opened in a newer version of Excel. Learn more: https://go.microsoft.com/fwlink/?linkid=870924
Comment:
    https://www.dadant.com/catalog/cypress-hive-stand-10-frame-m60090</t>
      </text>
    </comment>
    <comment ref="B23" authorId="13" shapeId="0" xr:uid="{2A37644D-1BA5-4ED1-8D54-84FAE97D9048}">
      <text>
        <t>[Threaded comment]
Your version of Excel allows you to read this threaded comment; however, any edits to it will get removed if the file is opened in a newer version of Excel. Learn more: https://go.microsoft.com/fwlink/?linkid=870924
Comment:
    https://www.dadant.com/catalog/m59501-beemax-entrance-feeder</t>
      </text>
    </comment>
    <comment ref="B24" authorId="14" shapeId="0" xr:uid="{C09D3045-8463-443E-BBC7-14D5A2524A34}">
      <text>
        <t>[Threaded comment]
Your version of Excel allows you to read this threaded comment; however, any edits to it will get removed if the file is opened in a newer version of Excel. Learn more: https://go.microsoft.com/fwlink/?linkid=870924
Comment:
    https://www.dadant.com/catalog/m00823-metal-bound-queen-excluder-10-fr</t>
      </text>
    </comment>
    <comment ref="B25" authorId="15" shapeId="0" xr:uid="{C452F886-2419-424B-817D-4E4CF829CAA9}">
      <text>
        <t>[Threaded comment]
Your version of Excel allows you to read this threaded comment; however, any edits to it will get removed if the file is opened in a newer version of Excel. Learn more: https://go.microsoft.com/fwlink/?linkid=870924
Comment:
    https://www.dadant.com/catalog/m01952-mini-beetle-blaster</t>
      </text>
    </comment>
    <comment ref="B26" authorId="16" shapeId="0" xr:uid="{E4DB84EC-B0B5-4B73-8854-4332D1E9CCFE}">
      <text>
        <t>[Threaded comment]
Your version of Excel allows you to read this threaded comment; however, any edits to it will get removed if the file is opened in a newer version of Excel. Learn more: https://go.microsoft.com/fwlink/?linkid=870924
Comment:
    https://www.homedepot.com/p/BEHR-PRO-1-gal-e600-White-Satin-Enamel-Exterior-Paint-PR64001/205853513</t>
      </text>
    </comment>
    <comment ref="B27" authorId="17" shapeId="0" xr:uid="{ACD2965F-1E2C-4DCD-9628-48A2FA961712}">
      <text>
        <t>[Threaded comment]
Your version of Excel allows you to read this threaded comment; however, any edits to it will get removed if the file is opened in a newer version of Excel. Learn more: https://go.microsoft.com/fwlink/?linkid=870924
Comment:
    https://www.dadant.com/catalog/heavy-duty-ventilated-leather-gloves-with-velcro-strap</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tc={1759776E-EA5F-47C2-9021-A21E97BE5011}</author>
    <author>tc={6564D3D1-67F8-4BAD-A9C2-5D4F4E733F34}</author>
    <author>tc={B3B60B0C-B66B-4DE1-9DAF-345D2B949D7A}</author>
    <author>tc={75104CB6-73C4-4180-A931-D08B8CF0E230}</author>
    <author>tc={6B40B27F-2B2B-4CE0-9E1E-3CBEB5AED5DE}</author>
    <author>tc={90A20C11-78B3-4C8A-BD8E-82E029DB0F92}</author>
    <author>tc={153FE1B7-3400-4776-AA86-E8FADB7151AA}</author>
    <author>tc={891CAA0E-2BF9-4776-87D5-C02F543FC03B}</author>
  </authors>
  <commentList>
    <comment ref="B14" authorId="0" shapeId="0" xr:uid="{1759776E-EA5F-47C2-9021-A21E97BE5011}">
      <text>
        <t>[Threaded comment]
Your version of Excel allows you to read this threaded comment; however, any edits to it will get removed if the file is opened in a newer version of Excel. Learn more: https://go.microsoft.com/fwlink/?linkid=870924
Comment:
    https://www.dadant.com/catalog/package-bees-3-lbs-shipped</t>
      </text>
    </comment>
    <comment ref="B19" authorId="1" shapeId="0" xr:uid="{6564D3D1-67F8-4BAD-A9C2-5D4F4E733F34}">
      <text>
        <t>[Threaded comment]
Your version of Excel allows you to read this threaded comment; however, any edits to it will get removed if the file is opened in a newer version of Excel. Learn more: https://go.microsoft.com/fwlink/?linkid=870924
Comment:
    Source: https://www.dadant.com/catalog/formic-pro-10-dose-m01465</t>
      </text>
    </comment>
    <comment ref="J20" authorId="2" shapeId="0" xr:uid="{B3B60B0C-B66B-4DE1-9DAF-345D2B949D7A}">
      <text>
        <t>[Threaded comment]
Your version of Excel allows you to read this threaded comment; however, any edits to it will get removed if the file is opened in a newer version of Excel. Learn more: https://go.microsoft.com/fwlink/?linkid=870924
Comment:
    Some places the price is 150, some places the price is 85. Good places to check for price changes are Dadant and Sons, and Tractor Supply</t>
      </text>
    </comment>
    <comment ref="J21" authorId="3" shapeId="0" xr:uid="{75104CB6-73C4-4180-A931-D08B8CF0E230}">
      <text>
        <t>[Threaded comment]
Your version of Excel allows you to read this threaded comment; however, any edits to it will get removed if the file is opened in a newer version of Excel. Learn more: https://go.microsoft.com/fwlink/?linkid=870924
Comment:
    https://www.dadant.com/catalog/m00752-cappings-scratcher</t>
      </text>
    </comment>
    <comment ref="J22" authorId="4" shapeId="0" xr:uid="{6B40B27F-2B2B-4CE0-9E1E-3CBEB5AED5DE}">
      <text>
        <t xml:space="preserve">[Threaded comment]
Your version of Excel allows you to read this threaded comment; however, any edits to it will get removed if the file is opened in a newer version of Excel. Learn more: https://go.microsoft.com/fwlink/?linkid=870924
Comment:
    Source: https://www.dadant.com/catalog/ranger-electric-power-extractor-m00410
Amazon is $400 for 8 frame: https://www.amazon.com/VIVO-Stainless-Extractor-Honeycomb-BEE-V004E/dp/B00SNEZVVI/ref=sr_1_2_sspa?crid=22S8YX25WRNA8&amp;keywords=electric%2Bhoney%2Bextractor%2B8%2Bframe&amp;qid=1702319418&amp;sprefix=electric%2Bhoney%2Bextractor%2B8%2Caps%2C96&amp;sr=8-2-spons&amp;sp_csd=d2lkZ2V0TmFtZT1zcF9hdGY&amp;th=1
</t>
      </text>
    </comment>
    <comment ref="J23" authorId="5" shapeId="0" xr:uid="{90A20C11-78B3-4C8A-BD8E-82E029DB0F92}">
      <text>
        <t>[Threaded comment]
Your version of Excel allows you to read this threaded comment; however, any edits to it will get removed if the file is opened in a newer version of Excel. Learn more: https://go.microsoft.com/fwlink/?linkid=870924
Comment:
    https://www.dadant.com/catalog/m01312-double-sieve-stainless-strainer</t>
      </text>
    </comment>
    <comment ref="J24" authorId="6" shapeId="0" xr:uid="{153FE1B7-3400-4776-AA86-E8FADB7151AA}">
      <text>
        <t>[Threaded comment]
Your version of Excel allows you to read this threaded comment; however, any edits to it will get removed if the file is opened in a newer version of Excel. Learn more: https://go.microsoft.com/fwlink/?linkid=870924
Comment:
    https://www.dadant.com/catalog/m00218-bottling-bucket</t>
      </text>
    </comment>
    <comment ref="J26" authorId="7" shapeId="0" xr:uid="{891CAA0E-2BF9-4776-87D5-C02F543FC03B}">
      <text>
        <t>[Threaded comment]
Your version of Excel allows you to read this threaded comment; however, any edits to it will get removed if the file is opened in a newer version of Excel. Learn more: https://go.microsoft.com/fwlink/?linkid=870924
Comment:
    Source: https://www.dadant.com/catalog/deluxe-uncapping-tub-kit</t>
      </text>
    </comment>
  </commentList>
</comments>
</file>

<file path=xl/sharedStrings.xml><?xml version="1.0" encoding="utf-8"?>
<sst xmlns="http://schemas.openxmlformats.org/spreadsheetml/2006/main" count="624" uniqueCount="156">
  <si>
    <t>Missouri Beekeeping Enterprise Budget</t>
  </si>
  <si>
    <t>Developed by:</t>
  </si>
  <si>
    <t>Madelyn Baker, Ryan Milhollin, Amy Patillo</t>
  </si>
  <si>
    <t>University of Missouri Extension</t>
  </si>
  <si>
    <t>Missouri Beekeeping Enterprise Budget (Establishment year)</t>
  </si>
  <si>
    <t>Table 1. Capital investments for beekeeping enterprise</t>
  </si>
  <si>
    <t>Number of established hives</t>
  </si>
  <si>
    <t>hives</t>
  </si>
  <si>
    <t>Item</t>
  </si>
  <si>
    <t>Quantity</t>
  </si>
  <si>
    <t xml:space="preserve">Price per </t>
  </si>
  <si>
    <t>Total</t>
  </si>
  <si>
    <t>Lifespan</t>
  </si>
  <si>
    <t xml:space="preserve">Salvage </t>
  </si>
  <si>
    <t>Depreciation</t>
  </si>
  <si>
    <t>Interest</t>
  </si>
  <si>
    <t>Number</t>
  </si>
  <si>
    <t>Dollars</t>
  </si>
  <si>
    <t>Years</t>
  </si>
  <si>
    <t>Percent</t>
  </si>
  <si>
    <t>Operating costs</t>
  </si>
  <si>
    <t>Units</t>
  </si>
  <si>
    <t>Price/unit</t>
  </si>
  <si>
    <t>Per Hive</t>
  </si>
  <si>
    <t>Beekeeping</t>
  </si>
  <si>
    <r>
      <t xml:space="preserve">Feed - sugar </t>
    </r>
    <r>
      <rPr>
        <i/>
        <sz val="11"/>
        <color theme="1"/>
        <rFont val="Segoe UI"/>
        <family val="2"/>
      </rPr>
      <t>(for syrup)</t>
    </r>
  </si>
  <si>
    <t>pounds</t>
  </si>
  <si>
    <t>Feed - pollen patties</t>
  </si>
  <si>
    <t>Hive covers, bottom boards</t>
  </si>
  <si>
    <t>Smoker fuel</t>
  </si>
  <si>
    <t>Queen excluder</t>
  </si>
  <si>
    <t>hive</t>
  </si>
  <si>
    <t>Hive paint</t>
  </si>
  <si>
    <t>Wrap for winter</t>
  </si>
  <si>
    <t>feet</t>
  </si>
  <si>
    <t>Hive feeders</t>
  </si>
  <si>
    <t>Labor - production</t>
  </si>
  <si>
    <t>hours</t>
  </si>
  <si>
    <t>Hive tool</t>
  </si>
  <si>
    <t>Repairs and maintenance</t>
  </si>
  <si>
    <t>total</t>
  </si>
  <si>
    <r>
      <t xml:space="preserve">Protective gear </t>
    </r>
    <r>
      <rPr>
        <i/>
        <sz val="11"/>
        <color theme="1"/>
        <rFont val="Segoe UI"/>
        <family val="2"/>
      </rPr>
      <t>(jacket, veil, gloves)</t>
    </r>
  </si>
  <si>
    <t>Miscellaneous costs</t>
  </si>
  <si>
    <t>Smoker</t>
  </si>
  <si>
    <t>Total operating costs</t>
  </si>
  <si>
    <t>Ownership costs</t>
  </si>
  <si>
    <t>Depreciation and interest on capital investments</t>
  </si>
  <si>
    <t>percent</t>
  </si>
  <si>
    <t>Business overhead, taxes and insurance</t>
  </si>
  <si>
    <t>Total ownership costs</t>
  </si>
  <si>
    <t>Total costs</t>
  </si>
  <si>
    <t>Honey production</t>
  </si>
  <si>
    <t>pounds per hive</t>
  </si>
  <si>
    <t>unit</t>
  </si>
  <si>
    <t>dollars</t>
  </si>
  <si>
    <t>value</t>
  </si>
  <si>
    <t>Income</t>
  </si>
  <si>
    <t>Per Lb.</t>
  </si>
  <si>
    <t xml:space="preserve">Honey </t>
  </si>
  <si>
    <r>
      <t>Hive boxes</t>
    </r>
    <r>
      <rPr>
        <i/>
        <sz val="11"/>
        <color theme="1"/>
        <rFont val="Segoe UI"/>
        <family val="2"/>
      </rPr>
      <t xml:space="preserve"> (deeps, with frames)</t>
    </r>
  </si>
  <si>
    <t>Contract pollination fees</t>
  </si>
  <si>
    <t>each</t>
  </si>
  <si>
    <r>
      <t xml:space="preserve">Hive boxes </t>
    </r>
    <r>
      <rPr>
        <i/>
        <sz val="11"/>
        <color theme="1"/>
        <rFont val="Segoe UI"/>
        <family val="2"/>
      </rPr>
      <t>(supers, with frames)</t>
    </r>
  </si>
  <si>
    <t>Other product #2</t>
  </si>
  <si>
    <t>Hive covers</t>
  </si>
  <si>
    <t>Other product #3</t>
  </si>
  <si>
    <t>Bottom boards</t>
  </si>
  <si>
    <t>Replacement bees</t>
  </si>
  <si>
    <t>package</t>
  </si>
  <si>
    <t>hour</t>
  </si>
  <si>
    <t>Labor - processing and harvest</t>
  </si>
  <si>
    <r>
      <t>Feed - sugar</t>
    </r>
    <r>
      <rPr>
        <i/>
        <sz val="11"/>
        <color theme="1"/>
        <rFont val="Segoe UI"/>
        <family val="2"/>
      </rPr>
      <t xml:space="preserve"> (for syrup)</t>
    </r>
  </si>
  <si>
    <t>pound</t>
  </si>
  <si>
    <t>Mite treatment (10 dose)</t>
  </si>
  <si>
    <t>Honey extraction</t>
  </si>
  <si>
    <t>Hot knife</t>
  </si>
  <si>
    <t xml:space="preserve">Bottles </t>
  </si>
  <si>
    <t>Capping scratcher</t>
  </si>
  <si>
    <t>Wrap for hives</t>
  </si>
  <si>
    <t>Honey extractor (powered)</t>
  </si>
  <si>
    <t>Marketing</t>
  </si>
  <si>
    <t>% of sales</t>
  </si>
  <si>
    <t>Honey seive (metal)</t>
  </si>
  <si>
    <t>Repair and maintenance</t>
  </si>
  <si>
    <t>Bucket with honey gate</t>
  </si>
  <si>
    <t>Uncapping tub kit</t>
  </si>
  <si>
    <t>Interest on operating capital</t>
  </si>
  <si>
    <t>Miscellaneous</t>
  </si>
  <si>
    <t xml:space="preserve">Total operating costs </t>
  </si>
  <si>
    <t>Income over operating costs</t>
  </si>
  <si>
    <t>Income over total costs</t>
  </si>
  <si>
    <r>
      <t xml:space="preserve">Feed - Sugar </t>
    </r>
    <r>
      <rPr>
        <i/>
        <sz val="11"/>
        <color theme="1"/>
        <rFont val="Segoe UI"/>
        <family val="2"/>
      </rPr>
      <t>(for syrup)</t>
    </r>
  </si>
  <si>
    <r>
      <t xml:space="preserve">Hive boxes and Nucs </t>
    </r>
    <r>
      <rPr>
        <i/>
        <sz val="11"/>
        <color theme="1"/>
        <rFont val="Segoe UI"/>
        <family val="2"/>
      </rPr>
      <t>(with frames)</t>
    </r>
  </si>
  <si>
    <t>Feed - Pollen patties</t>
  </si>
  <si>
    <t>Mite treatment</t>
  </si>
  <si>
    <t>Suit/Veil</t>
  </si>
  <si>
    <t>Brood boxes (with frames</t>
  </si>
  <si>
    <t>Nuc boxes (with frames)</t>
  </si>
  <si>
    <t>Hive cover</t>
  </si>
  <si>
    <t>Bottom board</t>
  </si>
  <si>
    <t>Hive feeder for sugar water</t>
  </si>
  <si>
    <t>Beetle traps</t>
  </si>
  <si>
    <t>Paint</t>
  </si>
  <si>
    <t>gallons</t>
  </si>
  <si>
    <t>Gloves</t>
  </si>
  <si>
    <t>pair</t>
  </si>
  <si>
    <t>Missouri Beekeeping Enterprise Budget (Established)</t>
  </si>
  <si>
    <t>Hive covers, wrap, insulation</t>
  </si>
  <si>
    <t>Bee Shed</t>
  </si>
  <si>
    <t>Honey extractor (manual)</t>
  </si>
  <si>
    <t>Buckets (4 gallon)</t>
  </si>
  <si>
    <t>Missouri Beekeeping Enterprise Budget (Establishment Year)</t>
  </si>
  <si>
    <t xml:space="preserve">Total costs </t>
  </si>
  <si>
    <t xml:space="preserve">Income over operating costs </t>
  </si>
  <si>
    <t xml:space="preserve">Income over total costs </t>
  </si>
  <si>
    <t>Income over total costs (excluding labor)</t>
  </si>
  <si>
    <t>Income over operating costs (excluding labor)</t>
  </si>
  <si>
    <t>Total income</t>
  </si>
  <si>
    <t>Develop a customized beekeeping enterprise budget by changing assumptions to fit your farming situation. Use the shaded boxes in various worksheets to change inputs or prices.</t>
  </si>
  <si>
    <r>
      <t>Marketing</t>
    </r>
    <r>
      <rPr>
        <i/>
        <sz val="11"/>
        <color theme="1"/>
        <rFont val="Segoe UI"/>
        <family val="2"/>
      </rPr>
      <t xml:space="preserve"> (materials, stand, fuel)</t>
    </r>
  </si>
  <si>
    <r>
      <t xml:space="preserve">Nuc boxes </t>
    </r>
    <r>
      <rPr>
        <i/>
        <sz val="11"/>
        <color theme="1"/>
        <rFont val="Segoe UI"/>
        <family val="2"/>
      </rPr>
      <t>(with frames)</t>
    </r>
  </si>
  <si>
    <r>
      <t xml:space="preserve">Hive boxes </t>
    </r>
    <r>
      <rPr>
        <i/>
        <sz val="11"/>
        <color theme="1"/>
        <rFont val="Segoe UI"/>
        <family val="2"/>
      </rPr>
      <t>(deeps, with frames)</t>
    </r>
  </si>
  <si>
    <t>Bottom boards, inner covers</t>
  </si>
  <si>
    <t>Bee brush</t>
  </si>
  <si>
    <t>Hive stand materials</t>
  </si>
  <si>
    <t>Oxalic acid vaporizor</t>
  </si>
  <si>
    <t>Labels</t>
  </si>
  <si>
    <r>
      <t xml:space="preserve">Marketing </t>
    </r>
    <r>
      <rPr>
        <i/>
        <sz val="11"/>
        <color theme="1"/>
        <rFont val="Segoe UI"/>
        <family val="2"/>
      </rPr>
      <t>(materials, stand, fuel)</t>
    </r>
  </si>
  <si>
    <t>Hive beetle traps</t>
  </si>
  <si>
    <t>Uncapping tub</t>
  </si>
  <si>
    <t>Hive stand material</t>
  </si>
  <si>
    <t xml:space="preserve">Uncapping tub </t>
  </si>
  <si>
    <r>
      <t>The Establishment</t>
    </r>
    <r>
      <rPr>
        <b/>
        <sz val="11"/>
        <rFont val="Segoe UI"/>
        <family val="2"/>
      </rPr>
      <t xml:space="preserve"> </t>
    </r>
    <r>
      <rPr>
        <sz val="11"/>
        <rFont val="Segoe UI"/>
        <family val="2"/>
      </rPr>
      <t xml:space="preserve">worksheet reflects someone's first year of beekeeping. Producing year worksheets reflects an operation with hives producing honey at the selected level (10, 20, or 30 hives) in future years. Going from the establishment (2 hives) to the first 10 hive production budget can take 3-5 years with normal growth. For more information, it is recommended to find a beekeeping mentor and/or beekeeping club near you. </t>
    </r>
  </si>
  <si>
    <t>Missouri Beekeeping Enterprise Budget (Producing Year)</t>
  </si>
  <si>
    <r>
      <t xml:space="preserve">Starter bees </t>
    </r>
    <r>
      <rPr>
        <i/>
        <sz val="11"/>
        <color theme="1"/>
        <rFont val="Segoe UI"/>
        <family val="2"/>
      </rPr>
      <t>(3 lb. package)</t>
    </r>
  </si>
  <si>
    <r>
      <t xml:space="preserve">Mite treatment </t>
    </r>
    <r>
      <rPr>
        <i/>
        <sz val="11"/>
        <color theme="1"/>
        <rFont val="Segoe UI"/>
        <family val="2"/>
      </rPr>
      <t>(oxalic acid)</t>
    </r>
  </si>
  <si>
    <r>
      <t xml:space="preserve">Honey extractor </t>
    </r>
    <r>
      <rPr>
        <i/>
        <sz val="11"/>
        <color theme="1"/>
        <rFont val="Segoe UI"/>
        <family val="2"/>
      </rPr>
      <t>(powered)</t>
    </r>
  </si>
  <si>
    <r>
      <t xml:space="preserve">Honey seive </t>
    </r>
    <r>
      <rPr>
        <i/>
        <sz val="11"/>
        <color theme="1"/>
        <rFont val="Segoe UI"/>
        <family val="2"/>
      </rPr>
      <t>(metal)</t>
    </r>
  </si>
  <si>
    <t xml:space="preserve">Storage shed </t>
  </si>
  <si>
    <r>
      <t xml:space="preserve">Replacement bees </t>
    </r>
    <r>
      <rPr>
        <i/>
        <sz val="11"/>
        <color theme="1"/>
        <rFont val="Segoe UI"/>
        <family val="2"/>
      </rPr>
      <t>(3 lb. package)</t>
    </r>
  </si>
  <si>
    <t>Oxalic acid vaporizer</t>
  </si>
  <si>
    <t>Beeswax</t>
  </si>
  <si>
    <t>5 gallon buckets</t>
  </si>
  <si>
    <t>Double broiler</t>
  </si>
  <si>
    <r>
      <t xml:space="preserve">Wax molds </t>
    </r>
    <r>
      <rPr>
        <i/>
        <sz val="11"/>
        <color theme="1"/>
        <rFont val="Segoe UI"/>
        <family val="2"/>
      </rPr>
      <t>(1 lb.)</t>
    </r>
  </si>
  <si>
    <t>Wax rendering</t>
  </si>
  <si>
    <t>Wrap/insulation for overwintering</t>
  </si>
  <si>
    <t>% of capital</t>
  </si>
  <si>
    <t xml:space="preserve">% of capital </t>
  </si>
  <si>
    <t>Unit</t>
  </si>
  <si>
    <t>gram</t>
  </si>
  <si>
    <t>Updated: 5/2024</t>
  </si>
  <si>
    <t>Operating interest</t>
  </si>
  <si>
    <t>`</t>
  </si>
  <si>
    <t>Protective gear (jacket, veil, gloves)</t>
  </si>
  <si>
    <r>
      <t xml:space="preserve">This worksheet is for educational purposes only and the user assumes all risks associated with its use.
</t>
    </r>
    <r>
      <rPr>
        <b/>
        <i/>
        <sz val="8"/>
        <color rgb="FF3F3F3F"/>
        <rFont val="Segoe UI"/>
        <family val="2"/>
      </rPr>
      <t>This project was partially funded by the U.S. Department of Agriculture’s (USDA) Farm Service Agency under 
project award number FSA23CPT0012862, USDA 2501 OPPE A0212591X443G004, and USDA NIFA #2021-77028-35274. 
The views expressed here are solely those of the authors and do not necessarily reflect the official stance of the USDA.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</si>
</sst>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quot;$&quot;#,##0"/>
    <numFmt numFmtId="166" formatCode="0.0%"/>
  </numFmts>
  <fonts count="21" x14ac:knownFonts="1">
    <font>
      <sz val="11"/>
      <color theme="1"/>
      <name val="Segoe UI"/>
      <family val="2"/>
      <scheme val="minor"/>
    </font>
    <font>
      <sz val="10"/>
      <color theme="1"/>
      <name val="Segoe UI"/>
      <family val="2"/>
    </font>
    <font>
      <sz val="11"/>
      <color theme="1"/>
      <name val="Segoe UI"/>
      <family val="2"/>
    </font>
    <font>
      <b/>
      <sz val="11"/>
      <color theme="1"/>
      <name val="Segoe UI"/>
      <family val="2"/>
    </font>
    <font>
      <b/>
      <sz val="14"/>
      <color rgb="FFF1B82D"/>
      <name val="Segoe UI"/>
      <family val="2"/>
    </font>
    <font>
      <sz val="11"/>
      <name val="Segoe UI"/>
      <family val="2"/>
    </font>
    <font>
      <sz val="9"/>
      <color theme="1"/>
      <name val="Segoe UI"/>
      <family val="2"/>
    </font>
    <font>
      <sz val="8"/>
      <name val="Segoe UI"/>
      <family val="2"/>
      <scheme val="minor"/>
    </font>
    <font>
      <sz val="12"/>
      <color theme="1"/>
      <name val="Segoe UI"/>
      <family val="2"/>
    </font>
    <font>
      <b/>
      <sz val="11"/>
      <color rgb="FF3F3F3F"/>
      <name val="Segoe UI"/>
      <family val="2"/>
      <scheme val="minor"/>
    </font>
    <font>
      <b/>
      <sz val="11"/>
      <name val="Segoe UI"/>
      <family val="2"/>
    </font>
    <font>
      <i/>
      <sz val="9"/>
      <name val="Segoe UI"/>
      <family val="2"/>
    </font>
    <font>
      <b/>
      <sz val="10"/>
      <color rgb="FF3F3F3F"/>
      <name val="Segoe UI"/>
      <family val="2"/>
    </font>
    <font>
      <b/>
      <sz val="14"/>
      <color rgb="FFF1B82D"/>
      <name val="Segoe UI Black"/>
      <family val="2"/>
    </font>
    <font>
      <sz val="12"/>
      <name val="Segoe UI"/>
      <family val="2"/>
    </font>
    <font>
      <i/>
      <sz val="11"/>
      <name val="Segoe UI"/>
      <family val="2"/>
    </font>
    <font>
      <b/>
      <u/>
      <sz val="11"/>
      <color theme="1"/>
      <name val="Segoe UI"/>
      <family val="2"/>
    </font>
    <font>
      <i/>
      <sz val="11"/>
      <color theme="1"/>
      <name val="Segoe UI"/>
      <family val="2"/>
    </font>
    <font>
      <sz val="11"/>
      <color theme="1"/>
      <name val="Segoe UI"/>
      <family val="2"/>
      <scheme val="minor"/>
    </font>
    <font>
      <b/>
      <sz val="11"/>
      <color rgb="FFFF0000"/>
      <name val="Segoe UI"/>
      <family val="2"/>
    </font>
    <font>
      <b/>
      <i/>
      <sz val="8"/>
      <color rgb="FF3F3F3F"/>
      <name val="Segoe UI"/>
      <family val="2"/>
    </font>
  </fonts>
  <fills count="5">
    <fill>
      <patternFill patternType="none"/>
    </fill>
    <fill>
      <patternFill patternType="gray125"/>
    </fill>
    <fill>
      <patternFill patternType="solid">
        <fgColor theme="1"/>
        <bgColor indexed="64"/>
      </patternFill>
    </fill>
    <fill>
      <patternFill patternType="solid">
        <fgColor rgb="FFF2F2F2"/>
      </patternFill>
    </fill>
    <fill>
      <patternFill patternType="solid">
        <fgColor theme="2"/>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rgb="FF3F3F3F"/>
      </left>
      <right style="thin">
        <color rgb="FF3F3F3F"/>
      </right>
      <top style="thin">
        <color rgb="FF3F3F3F"/>
      </top>
      <bottom style="thin">
        <color rgb="FF3F3F3F"/>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s>
  <cellStyleXfs count="3">
    <xf numFmtId="0" fontId="0" fillId="0" borderId="0"/>
    <xf numFmtId="0" fontId="9" fillId="3" borderId="8" applyNumberFormat="0" applyAlignment="0" applyProtection="0"/>
    <xf numFmtId="9" fontId="18" fillId="0" borderId="0" applyFont="0" applyFill="0" applyBorder="0" applyAlignment="0" applyProtection="0"/>
  </cellStyleXfs>
  <cellXfs count="160">
    <xf numFmtId="0" fontId="0" fillId="0" borderId="0" xfId="0"/>
    <xf numFmtId="0" fontId="2" fillId="0" borderId="0" xfId="0" applyFont="1"/>
    <xf numFmtId="0" fontId="3" fillId="0" borderId="0" xfId="0" applyFont="1"/>
    <xf numFmtId="164" fontId="2" fillId="0" borderId="0" xfId="0" applyNumberFormat="1" applyFont="1"/>
    <xf numFmtId="0" fontId="2" fillId="0" borderId="7" xfId="0" applyFont="1" applyBorder="1"/>
    <xf numFmtId="0" fontId="3" fillId="0" borderId="7" xfId="0" applyFont="1" applyBorder="1" applyAlignment="1">
      <alignment horizontal="right"/>
    </xf>
    <xf numFmtId="0" fontId="3" fillId="0" borderId="0" xfId="0" applyFont="1" applyAlignment="1">
      <alignment horizontal="left" indent="4"/>
    </xf>
    <xf numFmtId="0" fontId="2" fillId="2" borderId="9" xfId="0" applyFont="1" applyFill="1" applyBorder="1"/>
    <xf numFmtId="0" fontId="2" fillId="2" borderId="11" xfId="0" applyFont="1" applyFill="1" applyBorder="1"/>
    <xf numFmtId="0" fontId="2" fillId="0" borderId="0" xfId="0" applyFont="1" applyAlignment="1">
      <alignment horizontal="right"/>
    </xf>
    <xf numFmtId="0" fontId="4" fillId="0" borderId="4" xfId="0" applyFont="1" applyBorder="1" applyAlignment="1">
      <alignment horizontal="center"/>
    </xf>
    <xf numFmtId="0" fontId="4" fillId="0" borderId="0" xfId="0" applyFont="1" applyAlignment="1">
      <alignment horizontal="center"/>
    </xf>
    <xf numFmtId="0" fontId="4" fillId="0" borderId="5" xfId="0" applyFont="1" applyBorder="1" applyAlignment="1">
      <alignment horizontal="center"/>
    </xf>
    <xf numFmtId="0" fontId="2" fillId="0" borderId="4" xfId="0" applyFont="1" applyBorder="1"/>
    <xf numFmtId="0" fontId="2" fillId="4" borderId="0" xfId="0" applyFont="1" applyFill="1"/>
    <xf numFmtId="0" fontId="6" fillId="0" borderId="0" xfId="0" applyFont="1"/>
    <xf numFmtId="0" fontId="2" fillId="0" borderId="5" xfId="0" applyFont="1" applyBorder="1"/>
    <xf numFmtId="0" fontId="1" fillId="0" borderId="0" xfId="0" applyFont="1"/>
    <xf numFmtId="3" fontId="2" fillId="0" borderId="0" xfId="0" applyNumberFormat="1" applyFont="1"/>
    <xf numFmtId="3" fontId="2" fillId="4" borderId="0" xfId="0" applyNumberFormat="1" applyFont="1" applyFill="1"/>
    <xf numFmtId="0" fontId="2" fillId="4" borderId="4" xfId="0" applyFont="1" applyFill="1" applyBorder="1"/>
    <xf numFmtId="0" fontId="1" fillId="4" borderId="0" xfId="0" applyFont="1" applyFill="1"/>
    <xf numFmtId="0" fontId="3" fillId="0" borderId="4" xfId="0" applyFont="1" applyBorder="1" applyAlignment="1">
      <alignment horizontal="right"/>
    </xf>
    <xf numFmtId="0" fontId="2" fillId="4" borderId="0" xfId="0" applyFont="1" applyFill="1" applyAlignment="1">
      <alignment horizontal="right"/>
    </xf>
    <xf numFmtId="0" fontId="3" fillId="0" borderId="0" xfId="0" applyFont="1" applyAlignment="1">
      <alignment horizontal="right"/>
    </xf>
    <xf numFmtId="3" fontId="2" fillId="4" borderId="0" xfId="0" applyNumberFormat="1" applyFont="1" applyFill="1" applyAlignment="1">
      <alignment horizontal="right"/>
    </xf>
    <xf numFmtId="166" fontId="2" fillId="4" borderId="0" xfId="0" applyNumberFormat="1" applyFont="1" applyFill="1"/>
    <xf numFmtId="165" fontId="2" fillId="0" borderId="0" xfId="0" applyNumberFormat="1" applyFont="1"/>
    <xf numFmtId="166" fontId="2" fillId="0" borderId="0" xfId="0" applyNumberFormat="1" applyFont="1"/>
    <xf numFmtId="166" fontId="8" fillId="4" borderId="0" xfId="0" applyNumberFormat="1" applyFont="1" applyFill="1"/>
    <xf numFmtId="0" fontId="2" fillId="0" borderId="6" xfId="0" applyFont="1" applyBorder="1"/>
    <xf numFmtId="0" fontId="14" fillId="0" borderId="0" xfId="0" applyFont="1" applyAlignment="1">
      <alignment horizontal="center" wrapText="1"/>
    </xf>
    <xf numFmtId="0" fontId="11" fillId="0" borderId="0" xfId="0" applyFont="1" applyAlignment="1">
      <alignment horizontal="center" wrapText="1"/>
    </xf>
    <xf numFmtId="9" fontId="2" fillId="4" borderId="0" xfId="0" applyNumberFormat="1" applyFont="1" applyFill="1"/>
    <xf numFmtId="0" fontId="3" fillId="0" borderId="4" xfId="0" applyFont="1" applyBorder="1"/>
    <xf numFmtId="0" fontId="3" fillId="0" borderId="10" xfId="0" applyFont="1" applyBorder="1"/>
    <xf numFmtId="0" fontId="3" fillId="0" borderId="10" xfId="0" applyFont="1" applyBorder="1" applyAlignment="1">
      <alignment horizontal="left"/>
    </xf>
    <xf numFmtId="0" fontId="3" fillId="0" borderId="10" xfId="0" applyFont="1" applyBorder="1" applyAlignment="1">
      <alignment horizontal="center"/>
    </xf>
    <xf numFmtId="0" fontId="3" fillId="0" borderId="12" xfId="0" applyFont="1" applyBorder="1"/>
    <xf numFmtId="0" fontId="3" fillId="0" borderId="13" xfId="0" applyFont="1" applyBorder="1" applyAlignment="1">
      <alignment horizontal="center"/>
    </xf>
    <xf numFmtId="0" fontId="3" fillId="0" borderId="10" xfId="0" applyFont="1" applyBorder="1" applyAlignment="1">
      <alignment horizontal="right"/>
    </xf>
    <xf numFmtId="165" fontId="3" fillId="0" borderId="10" xfId="0" applyNumberFormat="1" applyFont="1" applyBorder="1" applyAlignment="1">
      <alignment horizontal="center"/>
    </xf>
    <xf numFmtId="0" fontId="2" fillId="0" borderId="16" xfId="0" applyFont="1" applyBorder="1"/>
    <xf numFmtId="0" fontId="2" fillId="0" borderId="15" xfId="0" applyFont="1" applyBorder="1"/>
    <xf numFmtId="0" fontId="14" fillId="0" borderId="15" xfId="0" applyFont="1" applyBorder="1" applyAlignment="1">
      <alignment horizontal="left" vertical="center"/>
    </xf>
    <xf numFmtId="0" fontId="14" fillId="0" borderId="15" xfId="0" applyFont="1" applyBorder="1" applyAlignment="1">
      <alignment horizontal="center" wrapText="1"/>
    </xf>
    <xf numFmtId="0" fontId="5" fillId="0" borderId="15" xfId="0" applyFont="1" applyBorder="1"/>
    <xf numFmtId="0" fontId="14" fillId="0" borderId="0" xfId="0" applyFont="1" applyAlignment="1">
      <alignment horizontal="left" vertical="center"/>
    </xf>
    <xf numFmtId="0" fontId="10" fillId="0" borderId="0" xfId="0" applyFont="1" applyAlignment="1">
      <alignment horizontal="left" vertical="center"/>
    </xf>
    <xf numFmtId="0" fontId="2" fillId="4" borderId="15" xfId="0" applyFont="1" applyFill="1" applyBorder="1"/>
    <xf numFmtId="9" fontId="2" fillId="4" borderId="15" xfId="0" applyNumberFormat="1" applyFont="1" applyFill="1" applyBorder="1"/>
    <xf numFmtId="0" fontId="5" fillId="0" borderId="15" xfId="0" applyFont="1" applyBorder="1" applyAlignment="1">
      <alignment horizontal="left"/>
    </xf>
    <xf numFmtId="0" fontId="14" fillId="0" borderId="0" xfId="0" applyFont="1" applyAlignment="1">
      <alignment horizontal="center" vertical="center" wrapText="1"/>
    </xf>
    <xf numFmtId="0" fontId="14" fillId="0" borderId="15" xfId="0" applyFont="1" applyBorder="1" applyAlignment="1">
      <alignment horizontal="center" vertical="center" wrapText="1"/>
    </xf>
    <xf numFmtId="4" fontId="2" fillId="0" borderId="0" xfId="0" applyNumberFormat="1" applyFont="1"/>
    <xf numFmtId="40" fontId="2" fillId="4" borderId="0" xfId="0" applyNumberFormat="1" applyFont="1" applyFill="1"/>
    <xf numFmtId="40" fontId="2" fillId="0" borderId="0" xfId="0" applyNumberFormat="1" applyFont="1"/>
    <xf numFmtId="40" fontId="2" fillId="0" borderId="5" xfId="0" applyNumberFormat="1" applyFont="1" applyBorder="1"/>
    <xf numFmtId="40" fontId="3" fillId="0" borderId="0" xfId="0" applyNumberFormat="1" applyFont="1" applyAlignment="1">
      <alignment horizontal="right"/>
    </xf>
    <xf numFmtId="40" fontId="3" fillId="0" borderId="5" xfId="0" applyNumberFormat="1" applyFont="1" applyBorder="1"/>
    <xf numFmtId="38" fontId="2" fillId="0" borderId="0" xfId="0" applyNumberFormat="1" applyFont="1"/>
    <xf numFmtId="38" fontId="3" fillId="0" borderId="0" xfId="0" applyNumberFormat="1" applyFont="1"/>
    <xf numFmtId="38" fontId="2" fillId="4" borderId="0" xfId="0" applyNumberFormat="1" applyFont="1" applyFill="1"/>
    <xf numFmtId="40" fontId="2" fillId="0" borderId="15" xfId="0" applyNumberFormat="1" applyFont="1" applyBorder="1"/>
    <xf numFmtId="40" fontId="2" fillId="0" borderId="17" xfId="0" applyNumberFormat="1" applyFont="1" applyBorder="1"/>
    <xf numFmtId="38" fontId="2" fillId="0" borderId="15" xfId="0" applyNumberFormat="1" applyFont="1" applyBorder="1"/>
    <xf numFmtId="38" fontId="2" fillId="4" borderId="15" xfId="0" applyNumberFormat="1" applyFont="1" applyFill="1" applyBorder="1"/>
    <xf numFmtId="38" fontId="3" fillId="0" borderId="7" xfId="0" applyNumberFormat="1" applyFont="1" applyBorder="1"/>
    <xf numFmtId="40" fontId="3" fillId="0" borderId="14" xfId="0" applyNumberFormat="1" applyFont="1" applyBorder="1"/>
    <xf numFmtId="0" fontId="5" fillId="0" borderId="0" xfId="0" applyFont="1" applyAlignment="1">
      <alignment horizontal="left"/>
    </xf>
    <xf numFmtId="0" fontId="15" fillId="0" borderId="0" xfId="0" applyFont="1" applyAlignment="1">
      <alignment horizontal="left" vertical="center"/>
    </xf>
    <xf numFmtId="9" fontId="2" fillId="0" borderId="0" xfId="0" applyNumberFormat="1" applyFont="1"/>
    <xf numFmtId="0" fontId="16" fillId="0" borderId="0" xfId="0" applyFont="1"/>
    <xf numFmtId="0" fontId="4" fillId="0" borderId="19" xfId="0" applyFont="1" applyBorder="1" applyAlignment="1">
      <alignment horizontal="center"/>
    </xf>
    <xf numFmtId="0" fontId="2" fillId="0" borderId="19" xfId="0" applyFont="1" applyBorder="1"/>
    <xf numFmtId="0" fontId="3" fillId="0" borderId="11" xfId="0" applyFont="1" applyBorder="1" applyAlignment="1">
      <alignment horizontal="center"/>
    </xf>
    <xf numFmtId="38" fontId="2" fillId="0" borderId="19" xfId="0" applyNumberFormat="1" applyFont="1" applyBorder="1"/>
    <xf numFmtId="0" fontId="2" fillId="0" borderId="21" xfId="0" applyFont="1" applyBorder="1"/>
    <xf numFmtId="4" fontId="2" fillId="0" borderId="21" xfId="0" applyNumberFormat="1" applyFont="1" applyBorder="1"/>
    <xf numFmtId="38" fontId="3" fillId="0" borderId="21" xfId="0" applyNumberFormat="1" applyFont="1" applyBorder="1"/>
    <xf numFmtId="38" fontId="3" fillId="0" borderId="20" xfId="0" applyNumberFormat="1" applyFont="1" applyBorder="1"/>
    <xf numFmtId="40" fontId="3" fillId="4" borderId="0" xfId="0" applyNumberFormat="1" applyFont="1" applyFill="1"/>
    <xf numFmtId="40" fontId="3" fillId="0" borderId="0" xfId="0" applyNumberFormat="1" applyFont="1"/>
    <xf numFmtId="0" fontId="3" fillId="4" borderId="0" xfId="0" applyFont="1" applyFill="1"/>
    <xf numFmtId="9" fontId="3" fillId="4" borderId="0" xfId="0" applyNumberFormat="1" applyFont="1" applyFill="1"/>
    <xf numFmtId="0" fontId="2" fillId="0" borderId="22" xfId="0" applyFont="1" applyBorder="1"/>
    <xf numFmtId="0" fontId="6" fillId="0" borderId="21" xfId="0" applyFont="1" applyBorder="1"/>
    <xf numFmtId="38" fontId="2" fillId="0" borderId="21" xfId="0" applyNumberFormat="1" applyFont="1" applyBorder="1"/>
    <xf numFmtId="38" fontId="2" fillId="0" borderId="20" xfId="0" applyNumberFormat="1" applyFont="1" applyBorder="1"/>
    <xf numFmtId="166" fontId="2" fillId="0" borderId="0" xfId="2" applyNumberFormat="1" applyFont="1" applyFill="1"/>
    <xf numFmtId="0" fontId="2" fillId="0" borderId="21" xfId="0" applyFont="1" applyBorder="1" applyAlignment="1">
      <alignment horizontal="right"/>
    </xf>
    <xf numFmtId="40" fontId="2" fillId="0" borderId="21" xfId="0" applyNumberFormat="1" applyFont="1" applyBorder="1"/>
    <xf numFmtId="0" fontId="6" fillId="0" borderId="10" xfId="0" applyFont="1" applyBorder="1"/>
    <xf numFmtId="0" fontId="2" fillId="0" borderId="10" xfId="0" applyFont="1" applyBorder="1" applyAlignment="1">
      <alignment horizontal="right"/>
    </xf>
    <xf numFmtId="40" fontId="2" fillId="0" borderId="10" xfId="0" applyNumberFormat="1" applyFont="1" applyBorder="1"/>
    <xf numFmtId="38" fontId="3" fillId="0" borderId="10" xfId="0" applyNumberFormat="1" applyFont="1" applyBorder="1"/>
    <xf numFmtId="38" fontId="3" fillId="0" borderId="11" xfId="0" applyNumberFormat="1" applyFont="1" applyBorder="1"/>
    <xf numFmtId="1" fontId="19" fillId="0" borderId="7" xfId="0" applyNumberFormat="1" applyFont="1" applyBorder="1"/>
    <xf numFmtId="1" fontId="19" fillId="0" borderId="18" xfId="0" applyNumberFormat="1" applyFont="1" applyBorder="1"/>
    <xf numFmtId="0" fontId="2" fillId="4" borderId="0" xfId="0" applyFont="1" applyFill="1" applyProtection="1">
      <protection locked="0"/>
    </xf>
    <xf numFmtId="40" fontId="2" fillId="4" borderId="0" xfId="0" applyNumberFormat="1" applyFont="1" applyFill="1" applyProtection="1">
      <protection locked="0"/>
    </xf>
    <xf numFmtId="40" fontId="2" fillId="4" borderId="15" xfId="0" applyNumberFormat="1" applyFont="1" applyFill="1" applyBorder="1" applyProtection="1">
      <protection locked="0"/>
    </xf>
    <xf numFmtId="9" fontId="2" fillId="4" borderId="0" xfId="0" applyNumberFormat="1" applyFont="1" applyFill="1" applyProtection="1">
      <protection locked="0"/>
    </xf>
    <xf numFmtId="0" fontId="2" fillId="4" borderId="15" xfId="0" applyFont="1" applyFill="1" applyBorder="1" applyProtection="1">
      <protection locked="0"/>
    </xf>
    <xf numFmtId="9" fontId="2" fillId="4" borderId="15" xfId="0" applyNumberFormat="1" applyFont="1" applyFill="1" applyBorder="1" applyProtection="1">
      <protection locked="0"/>
    </xf>
    <xf numFmtId="3" fontId="2" fillId="4" borderId="0" xfId="0" applyNumberFormat="1" applyFont="1" applyFill="1" applyProtection="1">
      <protection locked="0"/>
    </xf>
    <xf numFmtId="38" fontId="2" fillId="4" borderId="0" xfId="0" applyNumberFormat="1" applyFont="1" applyFill="1" applyProtection="1">
      <protection locked="0"/>
    </xf>
    <xf numFmtId="0" fontId="2" fillId="4" borderId="4" xfId="0" applyFont="1" applyFill="1" applyBorder="1" applyProtection="1">
      <protection locked="0"/>
    </xf>
    <xf numFmtId="0" fontId="1" fillId="4" borderId="0" xfId="0" applyFont="1" applyFill="1" applyProtection="1">
      <protection locked="0"/>
    </xf>
    <xf numFmtId="0" fontId="2" fillId="4" borderId="0" xfId="0" applyFont="1" applyFill="1" applyAlignment="1" applyProtection="1">
      <alignment horizontal="right"/>
      <protection locked="0"/>
    </xf>
    <xf numFmtId="3" fontId="2" fillId="4" borderId="0" xfId="0" applyNumberFormat="1" applyFont="1" applyFill="1" applyAlignment="1" applyProtection="1">
      <alignment horizontal="right"/>
      <protection locked="0"/>
    </xf>
    <xf numFmtId="166" fontId="2" fillId="4" borderId="0" xfId="0" applyNumberFormat="1" applyFont="1" applyFill="1" applyProtection="1">
      <protection locked="0"/>
    </xf>
    <xf numFmtId="166" fontId="8" fillId="4" borderId="0" xfId="0" applyNumberFormat="1" applyFont="1" applyFill="1" applyProtection="1">
      <protection locked="0"/>
    </xf>
    <xf numFmtId="38" fontId="2" fillId="4" borderId="15" xfId="0" applyNumberFormat="1" applyFont="1" applyFill="1" applyBorder="1" applyProtection="1">
      <protection locked="0"/>
    </xf>
    <xf numFmtId="9" fontId="3" fillId="0" borderId="0" xfId="0" applyNumberFormat="1" applyFont="1"/>
    <xf numFmtId="0" fontId="3" fillId="0" borderId="16" xfId="0" applyFont="1" applyBorder="1" applyAlignment="1">
      <alignment horizontal="right"/>
    </xf>
    <xf numFmtId="0" fontId="6" fillId="0" borderId="15" xfId="0" applyFont="1" applyBorder="1"/>
    <xf numFmtId="0" fontId="2" fillId="0" borderId="15" xfId="0" applyFont="1" applyBorder="1" applyAlignment="1">
      <alignment horizontal="right"/>
    </xf>
    <xf numFmtId="38" fontId="3" fillId="0" borderId="15" xfId="0" applyNumberFormat="1" applyFont="1" applyBorder="1"/>
    <xf numFmtId="0" fontId="3" fillId="0" borderId="23" xfId="0" applyFont="1" applyBorder="1" applyAlignment="1">
      <alignment horizontal="right"/>
    </xf>
    <xf numFmtId="0" fontId="6" fillId="0" borderId="24" xfId="0" applyFont="1" applyBorder="1"/>
    <xf numFmtId="0" fontId="2" fillId="0" borderId="24" xfId="0" applyFont="1" applyBorder="1" applyAlignment="1">
      <alignment horizontal="right"/>
    </xf>
    <xf numFmtId="40" fontId="3" fillId="0" borderId="24" xfId="0" applyNumberFormat="1" applyFont="1" applyBorder="1" applyAlignment="1">
      <alignment horizontal="right"/>
    </xf>
    <xf numFmtId="38" fontId="3" fillId="0" borderId="24" xfId="0" applyNumberFormat="1" applyFont="1" applyBorder="1"/>
    <xf numFmtId="0" fontId="6" fillId="0" borderId="0" xfId="0" applyFont="1" applyAlignment="1">
      <alignment wrapText="1"/>
    </xf>
    <xf numFmtId="0" fontId="17" fillId="0" borderId="0" xfId="0" applyFont="1"/>
    <xf numFmtId="9" fontId="2" fillId="4" borderId="0" xfId="2" applyFont="1" applyFill="1" applyProtection="1"/>
    <xf numFmtId="0" fontId="2" fillId="0" borderId="17" xfId="0" applyFont="1" applyBorder="1"/>
    <xf numFmtId="2" fontId="2" fillId="4" borderId="0" xfId="0" applyNumberFormat="1" applyFont="1" applyFill="1" applyProtection="1">
      <protection locked="0"/>
    </xf>
    <xf numFmtId="9" fontId="2" fillId="4" borderId="0" xfId="2" applyFont="1" applyFill="1" applyProtection="1">
      <protection locked="0"/>
    </xf>
    <xf numFmtId="9" fontId="2" fillId="4" borderId="15" xfId="2" applyFont="1" applyFill="1" applyBorder="1" applyProtection="1">
      <protection locked="0"/>
    </xf>
    <xf numFmtId="0" fontId="3" fillId="0" borderId="15" xfId="0" applyFont="1" applyBorder="1" applyAlignment="1">
      <alignment horizontal="right"/>
    </xf>
    <xf numFmtId="40" fontId="3" fillId="0" borderId="17" xfId="0" applyNumberFormat="1" applyFont="1" applyBorder="1"/>
    <xf numFmtId="0" fontId="3" fillId="0" borderId="21" xfId="0" applyFont="1" applyBorder="1"/>
    <xf numFmtId="40" fontId="3" fillId="0" borderId="21" xfId="0" applyNumberFormat="1" applyFont="1" applyBorder="1"/>
    <xf numFmtId="38" fontId="2" fillId="0" borderId="5" xfId="0" applyNumberFormat="1" applyFont="1" applyBorder="1"/>
    <xf numFmtId="38" fontId="2" fillId="0" borderId="17" xfId="0" applyNumberFormat="1" applyFont="1" applyBorder="1"/>
    <xf numFmtId="38" fontId="3" fillId="0" borderId="25" xfId="0" applyNumberFormat="1" applyFont="1" applyBorder="1"/>
    <xf numFmtId="166" fontId="2" fillId="4" borderId="0" xfId="2" applyNumberFormat="1" applyFont="1" applyFill="1" applyBorder="1" applyProtection="1">
      <protection locked="0"/>
    </xf>
    <xf numFmtId="38" fontId="3" fillId="0" borderId="17" xfId="0" applyNumberFormat="1" applyFont="1" applyBorder="1"/>
    <xf numFmtId="38" fontId="3" fillId="0" borderId="26" xfId="0" applyNumberFormat="1" applyFont="1" applyBorder="1"/>
    <xf numFmtId="0" fontId="2" fillId="0" borderId="0" xfId="0" applyFont="1" applyProtection="1">
      <protection locked="0"/>
    </xf>
    <xf numFmtId="40" fontId="2" fillId="0" borderId="0" xfId="0" applyNumberFormat="1" applyFont="1" applyProtection="1">
      <protection locked="0"/>
    </xf>
    <xf numFmtId="40" fontId="2" fillId="0" borderId="15" xfId="0" applyNumberFormat="1" applyFont="1" applyBorder="1" applyProtection="1">
      <protection locked="0"/>
    </xf>
    <xf numFmtId="0" fontId="4" fillId="2" borderId="12" xfId="0" applyFont="1" applyFill="1" applyBorder="1"/>
    <xf numFmtId="0" fontId="4" fillId="2" borderId="10" xfId="0" applyFont="1" applyFill="1" applyBorder="1"/>
    <xf numFmtId="0" fontId="4" fillId="2" borderId="13" xfId="0" applyFont="1" applyFill="1" applyBorder="1"/>
    <xf numFmtId="0" fontId="13" fillId="2" borderId="12" xfId="0" applyFont="1" applyFill="1" applyBorder="1" applyAlignment="1">
      <alignment horizontal="center"/>
    </xf>
    <xf numFmtId="0" fontId="13" fillId="2" borderId="10" xfId="0" applyFont="1" applyFill="1" applyBorder="1" applyAlignment="1">
      <alignment horizontal="center"/>
    </xf>
    <xf numFmtId="0" fontId="13" fillId="2" borderId="13" xfId="0" applyFont="1" applyFill="1" applyBorder="1" applyAlignment="1">
      <alignment horizontal="center"/>
    </xf>
    <xf numFmtId="0" fontId="2" fillId="0" borderId="0" xfId="0" applyFont="1" applyAlignment="1">
      <alignment horizontal="right"/>
    </xf>
    <xf numFmtId="0" fontId="2" fillId="0" borderId="0" xfId="0" applyFont="1"/>
    <xf numFmtId="0" fontId="5" fillId="0" borderId="0" xfId="0" applyFont="1" applyAlignment="1">
      <alignment horizontal="left" vertical="center" wrapText="1"/>
    </xf>
    <xf numFmtId="0" fontId="5" fillId="0" borderId="0" xfId="0" applyFont="1" applyAlignment="1">
      <alignment horizontal="left" vertical="top" wrapText="1"/>
    </xf>
    <xf numFmtId="0" fontId="4" fillId="2" borderId="1" xfId="0" applyFont="1" applyFill="1" applyBorder="1" applyAlignment="1">
      <alignment horizont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12" fillId="4" borderId="9" xfId="1" applyFont="1" applyFill="1" applyBorder="1" applyAlignment="1">
      <alignment horizontal="center" vertical="center" wrapText="1"/>
    </xf>
    <xf numFmtId="0" fontId="12" fillId="4" borderId="10" xfId="1" applyFont="1" applyFill="1" applyBorder="1" applyAlignment="1">
      <alignment horizontal="center" vertical="center"/>
    </xf>
    <xf numFmtId="0" fontId="12" fillId="4" borderId="11" xfId="1" applyFont="1" applyFill="1" applyBorder="1" applyAlignment="1">
      <alignment horizontal="center" vertical="center"/>
    </xf>
  </cellXfs>
  <cellStyles count="3">
    <cellStyle name="Normal" xfId="0" builtinId="0"/>
    <cellStyle name="Output" xfId="1" builtinId="21"/>
    <cellStyle name="Percent" xfId="2" builtinId="5"/>
  </cellStyles>
  <dxfs count="0"/>
  <tableStyles count="0" defaultTableStyle="TableStyleMedium2" defaultPivotStyle="PivotStyleLight16"/>
  <colors>
    <mruColors>
      <color rgb="FFF1B800"/>
      <color rgb="FF8DC85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4267200</xdr:colOff>
      <xdr:row>3</xdr:row>
      <xdr:rowOff>187675</xdr:rowOff>
    </xdr:from>
    <xdr:to>
      <xdr:col>4</xdr:col>
      <xdr:colOff>904875</xdr:colOff>
      <xdr:row>7</xdr:row>
      <xdr:rowOff>64075</xdr:rowOff>
    </xdr:to>
    <xdr:pic>
      <xdr:nvPicPr>
        <xdr:cNvPr id="2" name="Picture 1">
          <a:extLst>
            <a:ext uri="{FF2B5EF4-FFF2-40B4-BE49-F238E27FC236}">
              <a16:creationId xmlns:a16="http://schemas.microsoft.com/office/drawing/2014/main" id="{E36B963D-DCF2-4EB1-907B-43B3014664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81625" y="883000"/>
          <a:ext cx="2292350" cy="71777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Baker, Maddi (MU-Student)" id="{79CD49FA-E55B-403B-A124-EDD5D71050D1}" userId="S::mmbckx@umsystem.edu::2ca744a9-4205-4b65-98d6-b766267d3f33" providerId="AD"/>
</personList>
</file>

<file path=xl/theme/theme1.xml><?xml version="1.0" encoding="utf-8"?>
<a:theme xmlns:a="http://schemas.openxmlformats.org/drawingml/2006/main" name="Office Theme">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ustom 9">
      <a:majorFont>
        <a:latin typeface="Segoe UI"/>
        <a:ea typeface=""/>
        <a:cs typeface=""/>
      </a:majorFont>
      <a:minorFont>
        <a:latin typeface="Segoe UI"/>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6" dT="2023-12-11T16:39:54.16" personId="{79CD49FA-E55B-403B-A124-EDD5D71050D1}" id="{CC98D50A-CC0F-41F7-A4C7-4FD4C1C1FCE1}">
    <text xml:space="preserve">Explanation: 6 months of feeding sugar water before it's too cold - spring/summer is 1:1 ratio, winter is 2 sugar to 1 water ratio. Bees go through a 2 quart per week, which would be 4 cups of sugar. 2 cups of sugar for 4ish months is 64 cups of sugar. In fall/winter, or after last harvest of honey, which is about 1.5 months, would be roughly 24 cups of sugar. Roughly 0.440925lbs/cup of sugar. 64+24 is 88 cups of sugar. 64x0.440925lbs is 28.22 pounds of sugar per hive. Multiply this by 2 hives, this gives you 55 pounds for the feeding season.
Price for sugar: https://www.walmart.com/ip/Great-Value-Pure-Granulated-Sugar-25-Lb/10403009?athbdg=L1600&amp;from=/search </text>
    <extLst>
      <x:ext xmlns:xltc2="http://schemas.microsoft.com/office/spreadsheetml/2020/threadedcomments2" uri="{F7C98A9C-CBB3-438F-8F68-D28B6AF4A901}">
        <xltc2:checksum>1874890062</xltc2:checksum>
        <xltc2:hyperlink startIndex="567" length="101" url="https://www.walmart.com/ip/Great-Value-Pure-Granulated-Sugar-25-Lb/10403009?athbdg=L1600&amp;from=/search"/>
      </x:ext>
    </extLst>
  </threadedComment>
  <threadedComment ref="B7" dT="2023-12-11T16:44:24.75" personId="{79CD49FA-E55B-403B-A124-EDD5D71050D1}" id="{7E39A4DE-FC78-4EF1-BCA8-0649C619CE36}">
    <text>Price source: https://www.dadant.com/catalog/m0016040ph-ap23-pollen-substitute-40lb-box-of-patties</text>
    <extLst>
      <x:ext xmlns:xltc2="http://schemas.microsoft.com/office/spreadsheetml/2020/threadedcomments2" uri="{F7C98A9C-CBB3-438F-8F68-D28B6AF4A901}">
        <xltc2:checksum>1129388572</xltc2:checksum>
        <xltc2:hyperlink startIndex="14" length="84" url="https://www.dadant.com/catalog/m0016040ph-ap23-pollen-substitute-40lb-box-of-patties"/>
      </x:ext>
    </extLst>
  </threadedComment>
  <threadedComment ref="B8" dT="2023-12-11T16:45:41.32" personId="{79CD49FA-E55B-403B-A124-EDD5D71050D1}" id="{C4751E2B-2696-435D-B840-56AA6CBECEE2}">
    <text>Price source: https://www.dadant.com/catalog/m008085-5-lb-wood-pellet-smoker-fuel</text>
    <extLst>
      <x:ext xmlns:xltc2="http://schemas.microsoft.com/office/spreadsheetml/2020/threadedcomments2" uri="{F7C98A9C-CBB3-438F-8F68-D28B6AF4A901}">
        <xltc2:checksum>3126476057</xltc2:checksum>
        <xltc2:hyperlink startIndex="14" length="67" url="https://www.dadant.com/catalog/m008085-5-lb-wood-pellet-smoker-fuel"/>
      </x:ext>
    </extLst>
  </threadedComment>
  <threadedComment ref="B9" dT="2023-12-11T16:59:24.58" personId="{79CD49FA-E55B-403B-A124-EDD5D71050D1}" id="{530A026C-9097-47A7-AF58-647DD5F9DCCD}">
    <text>Source: https://www.dadant.com/catalog/formic-pro-2-dose-m01464</text>
    <extLst>
      <x:ext xmlns:xltc2="http://schemas.microsoft.com/office/spreadsheetml/2020/threadedcomments2" uri="{F7C98A9C-CBB3-438F-8F68-D28B6AF4A901}">
        <xltc2:checksum>2124372468</xltc2:checksum>
        <xltc2:hyperlink startIndex="8" length="55" url="https://www.dadant.com/catalog/formic-pro-2-dose-m01464"/>
      </x:ext>
    </extLst>
  </threadedComment>
  <threadedComment ref="B10" dT="2023-12-11T16:59:48.12" personId="{79CD49FA-E55B-403B-A124-EDD5D71050D1}" id="{BEC33AE3-7DFC-4504-8E61-8FDD82DA6EF5}">
    <text>Source: https://www.amazon.com/dp/B08WPXDDQ4/ref=twister_B0BSFVXD3V?_encoding=UTF8&amp;th=1</text>
    <extLst>
      <x:ext xmlns:xltc2="http://schemas.microsoft.com/office/spreadsheetml/2020/threadedcomments2" uri="{F7C98A9C-CBB3-438F-8F68-D28B6AF4A901}">
        <xltc2:checksum>3470729183</xltc2:checksum>
        <xltc2:hyperlink startIndex="8" length="79" url="https://www.amazon.com/dp/B08WPXDDQ4/ref=twister_B0BSFVXD3V?_encoding=UTF8&amp;th=1"/>
      </x:ext>
    </extLst>
  </threadedComment>
  <threadedComment ref="G15" dT="2023-12-11T15:12:14.95" personId="{79CD49FA-E55B-403B-A124-EDD5D71050D1}" id="{A0242F18-4157-4331-B19C-9A7AB0A6DFB3}">
    <text>Does this column need numbers for ownership costs?</text>
  </threadedComment>
  <threadedComment ref="B16" dT="2023-12-11T17:00:55.28" personId="{79CD49FA-E55B-403B-A124-EDD5D71050D1}" id="{422031E0-8A18-4B8B-88A6-BC381AA8FD66}">
    <text xml:space="preserve">Source: https://www.dadant.com/catalog/m00856-j-hook-hive-tool </text>
    <extLst>
      <x:ext xmlns:xltc2="http://schemas.microsoft.com/office/spreadsheetml/2020/threadedcomments2" uri="{F7C98A9C-CBB3-438F-8F68-D28B6AF4A901}">
        <xltc2:checksum>1996091860</xltc2:checksum>
        <xltc2:hyperlink startIndex="8" length="54" url="https://www.dadant.com/catalog/m00856-j-hook-hive-tool"/>
      </x:ext>
    </extLst>
  </threadedComment>
  <threadedComment ref="B17" dT="2023-12-11T17:01:22.05" personId="{79CD49FA-E55B-403B-A124-EDD5D71050D1}" id="{92A27079-FFE4-4182-AA8D-23BEC1094614}">
    <text>Source: https://www.dadant.com/catalog/m00926-smoker-4-x-7-stainless-steel</text>
    <extLst>
      <x:ext xmlns:xltc2="http://schemas.microsoft.com/office/spreadsheetml/2020/threadedcomments2" uri="{F7C98A9C-CBB3-438F-8F68-D28B6AF4A901}">
        <xltc2:checksum>1339307882</xltc2:checksum>
        <xltc2:hyperlink startIndex="8" length="66" url="https://www.dadant.com/catalog/m00926-smoker-4-x-7-stainless-steel"/>
      </x:ext>
    </extLst>
  </threadedComment>
  <threadedComment ref="B18" dT="2023-12-11T17:09:08.36" personId="{79CD49FA-E55B-403B-A124-EDD5D71050D1}" id="{4C113650-F43A-41F0-84A2-611350BBAC35}">
    <text>Source: https://www.dadant.com/catalog/cricket-style-hat-veil-suit</text>
    <extLst>
      <x:ext xmlns:xltc2="http://schemas.microsoft.com/office/spreadsheetml/2020/threadedcomments2" uri="{F7C98A9C-CBB3-438F-8F68-D28B6AF4A901}">
        <xltc2:checksum>1092908908</xltc2:checksum>
        <xltc2:hyperlink startIndex="8" length="58" url="https://www.dadant.com/catalog/cricket-style-hat-veil-suit"/>
      </x:ext>
    </extLst>
  </threadedComment>
  <threadedComment ref="B19" dT="2023-12-11T17:10:25.62" personId="{79CD49FA-E55B-403B-A124-EDD5D71050D1}" id="{F7DD1FFA-35F6-4D86-8DCF-7034D9DD07D6}">
    <text>https://www.tractorsupply.com/tsc/product/harvest-lane-honey-beehive-deep-brood-box-complete-with-10-frames-foundation-16-1-4-in-x-19-7-8-in-x-9-1-2-in</text>
    <extLst>
      <x:ext xmlns:xltc2="http://schemas.microsoft.com/office/spreadsheetml/2020/threadedcomments2" uri="{F7C98A9C-CBB3-438F-8F68-D28B6AF4A901}">
        <xltc2:checksum>3073521833</xltc2:checksum>
        <xltc2:hyperlink startIndex="0" length="151" url="https://www.tractorsupply.com/tsc/product/harvest-lane-honey-beehive-deep-brood-box-complete-with-10-frames-foundation-16-1-4-in-x-19-7-8-in-x-9-1-2-in"/>
      </x:ext>
    </extLst>
  </threadedComment>
  <threadedComment ref="B20" dT="2023-12-11T17:11:15.69" personId="{79CD49FA-E55B-403B-A124-EDD5D71050D1}" id="{C5FE6336-3EB5-4AEE-9F36-766CEE7CB096}">
    <text>Source: https://www.tractorsupply.com/tsc/product/harvest-lane-honey-beehive-medium-honey-super-complete-with-10-frames-foundation-16-1-4-in-x-19-7-8-in-x-6-5-8-in</text>
    <extLst>
      <x:ext xmlns:xltc2="http://schemas.microsoft.com/office/spreadsheetml/2020/threadedcomments2" uri="{F7C98A9C-CBB3-438F-8F68-D28B6AF4A901}">
        <xltc2:checksum>371797074</xltc2:checksum>
        <xltc2:hyperlink startIndex="8" length="155" url="https://www.tractorsupply.com/tsc/product/harvest-lane-honey-beehive-medium-honey-super-complete-with-10-frames-foundation-16-1-4-in-x-19-7-8-in-x-6-5-8-in"/>
      </x:ext>
    </extLst>
  </threadedComment>
  <threadedComment ref="B21" dT="2023-12-11T17:14:35.45" personId="{79CD49FA-E55B-403B-A124-EDD5D71050D1}" id="{A64412C2-5147-4623-AE5C-E916D3F9E69F}">
    <text>Source: https://www.dadant.com/catalog/4-frame-nuc-inner-cover-for-support-hive-m60035-d</text>
    <extLst>
      <x:ext xmlns:xltc2="http://schemas.microsoft.com/office/spreadsheetml/2020/threadedcomments2" uri="{F7C98A9C-CBB3-438F-8F68-D28B6AF4A901}">
        <xltc2:checksum>2142604985</xltc2:checksum>
        <xltc2:hyperlink startIndex="8" length="80" url="https://www.dadant.com/catalog/4-frame-nuc-inner-cover-for-support-hive-m60035-d"/>
      </x:ext>
    </extLst>
  </threadedComment>
  <threadedComment ref="B22" dT="2023-12-11T17:15:43.48" personId="{79CD49FA-E55B-403B-A124-EDD5D71050D1}" id="{788461FD-36AA-4A33-81FF-AA86142D38A9}">
    <text>https://www.dadant.com/catalog/cypress-hive-stand-10-frame-m60090</text>
    <extLst>
      <x:ext xmlns:xltc2="http://schemas.microsoft.com/office/spreadsheetml/2020/threadedcomments2" uri="{F7C98A9C-CBB3-438F-8F68-D28B6AF4A901}">
        <xltc2:checksum>2943158948</xltc2:checksum>
        <xltc2:hyperlink startIndex="0" length="65" url="https://www.dadant.com/catalog/cypress-hive-stand-10-frame-m60090"/>
      </x:ext>
    </extLst>
  </threadedComment>
  <threadedComment ref="B23" dT="2023-12-11T17:18:41.70" personId="{79CD49FA-E55B-403B-A124-EDD5D71050D1}" id="{2A37644D-1BA5-4ED1-8D54-84FAE97D9048}">
    <text>https://www.dadant.com/catalog/m59501-beemax-entrance-feeder</text>
    <extLst>
      <x:ext xmlns:xltc2="http://schemas.microsoft.com/office/spreadsheetml/2020/threadedcomments2" uri="{F7C98A9C-CBB3-438F-8F68-D28B6AF4A901}">
        <xltc2:checksum>2986918213</xltc2:checksum>
        <xltc2:hyperlink startIndex="0" length="60" url="https://www.dadant.com/catalog/m59501-beemax-entrance-feeder"/>
      </x:ext>
    </extLst>
  </threadedComment>
  <threadedComment ref="B24" dT="2023-12-11T17:19:11.50" personId="{79CD49FA-E55B-403B-A124-EDD5D71050D1}" id="{C09D3045-8463-443E-BBC7-14D5A2524A34}">
    <text>https://www.dadant.com/catalog/m00823-metal-bound-queen-excluder-10-fr</text>
    <extLst>
      <x:ext xmlns:xltc2="http://schemas.microsoft.com/office/spreadsheetml/2020/threadedcomments2" uri="{F7C98A9C-CBB3-438F-8F68-D28B6AF4A901}">
        <xltc2:checksum>454457822</xltc2:checksum>
        <xltc2:hyperlink startIndex="0" length="70" url="https://www.dadant.com/catalog/m00823-metal-bound-queen-excluder-10-fr"/>
      </x:ext>
    </extLst>
  </threadedComment>
  <threadedComment ref="B25" dT="2023-12-11T17:20:31.61" personId="{79CD49FA-E55B-403B-A124-EDD5D71050D1}" id="{C452F886-2419-424B-817D-4E4CF829CAA9}">
    <text>https://www.dadant.com/catalog/m01952-mini-beetle-blaster</text>
    <extLst>
      <x:ext xmlns:xltc2="http://schemas.microsoft.com/office/spreadsheetml/2020/threadedcomments2" uri="{F7C98A9C-CBB3-438F-8F68-D28B6AF4A901}">
        <xltc2:checksum>1993269861</xltc2:checksum>
        <xltc2:hyperlink startIndex="0" length="57" url="https://www.dadant.com/catalog/m01952-mini-beetle-blaster"/>
      </x:ext>
    </extLst>
  </threadedComment>
  <threadedComment ref="B26" dT="2023-12-11T18:14:06.48" personId="{79CD49FA-E55B-403B-A124-EDD5D71050D1}" id="{E4DB84EC-B0B5-4B73-8854-4332D1E9CCFE}">
    <text>https://www.homedepot.com/p/BEHR-PRO-1-gal-e600-White-Satin-Enamel-Exterior-Paint-PR64001/205853513</text>
    <extLst>
      <x:ext xmlns:xltc2="http://schemas.microsoft.com/office/spreadsheetml/2020/threadedcomments2" uri="{F7C98A9C-CBB3-438F-8F68-D28B6AF4A901}">
        <xltc2:checksum>3499815542</xltc2:checksum>
        <xltc2:hyperlink startIndex="0" length="99" url="https://www.homedepot.com/p/BEHR-PRO-1-gal-e600-White-Satin-Enamel-Exterior-Paint-PR64001/205853513"/>
      </x:ext>
    </extLst>
  </threadedComment>
  <threadedComment ref="B27" dT="2023-12-11T18:15:03.09" personId="{79CD49FA-E55B-403B-A124-EDD5D71050D1}" id="{ACD2965F-1E2C-4DCD-9628-48A2FA961712}">
    <text>https://www.dadant.com/catalog/heavy-duty-ventilated-leather-gloves-with-velcro-strap</text>
    <extLst>
      <x:ext xmlns:xltc2="http://schemas.microsoft.com/office/spreadsheetml/2020/threadedcomments2" uri="{F7C98A9C-CBB3-438F-8F68-D28B6AF4A901}">
        <xltc2:checksum>4207282051</xltc2:checksum>
        <xltc2:hyperlink startIndex="0" length="85" url="https://www.dadant.com/catalog/heavy-duty-ventilated-leather-gloves-with-velcro-strap"/>
      </x:ext>
    </extLst>
  </threadedComment>
</ThreadedComments>
</file>

<file path=xl/threadedComments/threadedComment2.xml><?xml version="1.0" encoding="utf-8"?>
<ThreadedComments xmlns="http://schemas.microsoft.com/office/spreadsheetml/2018/threadedcomments" xmlns:x="http://schemas.openxmlformats.org/spreadsheetml/2006/main">
  <threadedComment ref="B14" dT="2023-12-11T18:17:04.46" personId="{79CD49FA-E55B-403B-A124-EDD5D71050D1}" id="{1759776E-EA5F-47C2-9021-A21E97BE5011}">
    <text>https://www.dadant.com/catalog/package-bees-3-lbs-shipped</text>
    <extLst>
      <x:ext xmlns:xltc2="http://schemas.microsoft.com/office/spreadsheetml/2020/threadedcomments2" uri="{F7C98A9C-CBB3-438F-8F68-D28B6AF4A901}">
        <xltc2:checksum>1840369659</xltc2:checksum>
        <xltc2:hyperlink startIndex="0" length="57" url="https://www.dadant.com/catalog/package-bees-3-lbs-shipped"/>
      </x:ext>
    </extLst>
  </threadedComment>
  <threadedComment ref="B19" dT="2023-12-11T18:22:04.92" personId="{79CD49FA-E55B-403B-A124-EDD5D71050D1}" id="{6564D3D1-67F8-4BAD-A9C2-5D4F4E733F34}">
    <text>Source: https://www.dadant.com/catalog/formic-pro-10-dose-m01465</text>
    <extLst>
      <x:ext xmlns:xltc2="http://schemas.microsoft.com/office/spreadsheetml/2020/threadedcomments2" uri="{F7C98A9C-CBB3-438F-8F68-D28B6AF4A901}">
        <xltc2:checksum>613506109</xltc2:checksum>
        <xltc2:hyperlink startIndex="8" length="56" url="https://www.dadant.com/catalog/formic-pro-10-dose-m01465"/>
      </x:ext>
    </extLst>
  </threadedComment>
  <threadedComment ref="J20" dT="2023-12-11T18:31:29.30" personId="{79CD49FA-E55B-403B-A124-EDD5D71050D1}" id="{B3B60B0C-B66B-4DE1-9DAF-345D2B949D7A}">
    <text>Some places the price is 150, some places the price is 85. Good places to check for price changes are Dadant and Sons, and Tractor Supply</text>
  </threadedComment>
  <threadedComment ref="J21" dT="2023-12-11T18:31:49.95" personId="{79CD49FA-E55B-403B-A124-EDD5D71050D1}" id="{75104CB6-73C4-4180-A931-D08B8CF0E230}">
    <text>https://www.dadant.com/catalog/m00752-cappings-scratcher</text>
    <extLst>
      <x:ext xmlns:xltc2="http://schemas.microsoft.com/office/spreadsheetml/2020/threadedcomments2" uri="{F7C98A9C-CBB3-438F-8F68-D28B6AF4A901}">
        <xltc2:checksum>2511140024</xltc2:checksum>
        <xltc2:hyperlink startIndex="0" length="56" url="https://www.dadant.com/catalog/m00752-cappings-scratcher"/>
      </x:ext>
    </extLst>
  </threadedComment>
  <threadedComment ref="J22" dT="2023-12-11T18:32:33.98" personId="{79CD49FA-E55B-403B-A124-EDD5D71050D1}" id="{6B40B27F-2B2B-4CE0-9E1E-3CBEB5AED5DE}">
    <text xml:space="preserve">Source: https://www.dadant.com/catalog/ranger-electric-power-extractor-m00410
Amazon is $400 for 8 frame: https://www.amazon.com/VIVO-Stainless-Extractor-Honeycomb-BEE-V004E/dp/B00SNEZVVI/ref=sr_1_2_sspa?crid=22S8YX25WRNA8&amp;keywords=electric%2Bhoney%2Bextractor%2B8%2Bframe&amp;qid=1702319418&amp;sprefix=electric%2Bhoney%2Bextractor%2B8%2Caps%2C96&amp;sr=8-2-spons&amp;sp_csd=d2lkZ2V0TmFtZT1zcF9hdGY&amp;th=1
</text>
    <extLst>
      <x:ext xmlns:xltc2="http://schemas.microsoft.com/office/spreadsheetml/2020/threadedcomments2" uri="{F7C98A9C-CBB3-438F-8F68-D28B6AF4A901}">
        <xltc2:checksum>2940582854</xltc2:checksum>
        <xltc2:hyperlink startIndex="8" length="69" url="https://www.dadant.com/catalog/ranger-electric-power-extractor-m00410"/>
        <xltc2:hyperlink startIndex="107" length="282" url="https://www.amazon.com/VIVO-Stainless-Extractor-Honeycomb-BEE-V004E/dp/B00SNEZVVI/ref=sr_1_2_sspa?crid=22S8YX25WRNA8&amp;keywords=electric%2Bhoney%2Bextractor%2B8%2Bframe&amp;qid=1702319418&amp;sprefix=electric%2Bhoney%2Bextractor%2B8%2Caps%2C96&amp;sr=8-2-spons&amp;sp_csd=d2lkZ2V0TmFtZT1zcF9hdGY&amp;th=1"/>
      </x:ext>
    </extLst>
  </threadedComment>
  <threadedComment ref="J23" dT="2023-12-11T18:34:11.11" personId="{79CD49FA-E55B-403B-A124-EDD5D71050D1}" id="{90A20C11-78B3-4C8A-BD8E-82E029DB0F92}">
    <text>https://www.dadant.com/catalog/m01312-double-sieve-stainless-strainer</text>
    <extLst>
      <x:ext xmlns:xltc2="http://schemas.microsoft.com/office/spreadsheetml/2020/threadedcomments2" uri="{F7C98A9C-CBB3-438F-8F68-D28B6AF4A901}">
        <xltc2:checksum>1510428305</xltc2:checksum>
        <xltc2:hyperlink startIndex="0" length="69" url="https://www.dadant.com/catalog/m01312-double-sieve-stainless-strainer"/>
      </x:ext>
    </extLst>
  </threadedComment>
  <threadedComment ref="J24" dT="2023-12-11T18:34:47.38" personId="{79CD49FA-E55B-403B-A124-EDD5D71050D1}" id="{153FE1B7-3400-4776-AA86-E8FADB7151AA}">
    <text>https://www.dadant.com/catalog/m00218-bottling-bucket</text>
    <extLst>
      <x:ext xmlns:xltc2="http://schemas.microsoft.com/office/spreadsheetml/2020/threadedcomments2" uri="{F7C98A9C-CBB3-438F-8F68-D28B6AF4A901}">
        <xltc2:checksum>1063841414</xltc2:checksum>
        <xltc2:hyperlink startIndex="0" length="53" url="https://www.dadant.com/catalog/m00218-bottling-bucket"/>
      </x:ext>
    </extLst>
  </threadedComment>
  <threadedComment ref="J26" dT="2023-12-11T18:40:42.61" personId="{79CD49FA-E55B-403B-A124-EDD5D71050D1}" id="{891CAA0E-2BF9-4776-87D5-C02F543FC03B}">
    <text>Source: https://www.dadant.com/catalog/deluxe-uncapping-tub-kit</text>
    <extLst>
      <x:ext xmlns:xltc2="http://schemas.microsoft.com/office/spreadsheetml/2020/threadedcomments2" uri="{F7C98A9C-CBB3-438F-8F68-D28B6AF4A901}">
        <xltc2:checksum>1683817081</xltc2:checksum>
        <xltc2:hyperlink startIndex="8" length="55" url="https://www.dadant.com/catalog/deluxe-uncapping-tub-kit"/>
      </x:ext>
    </extLs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 Id="rId4" Type="http://schemas.microsoft.com/office/2017/10/relationships/threadedComment" Target="../threadedComments/threadedComment1.xml"/></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 Id="rId4"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F002E-5C39-4072-AC63-60339F942E72}">
  <sheetPr codeName="Sheet1"/>
  <dimension ref="A1:G16"/>
  <sheetViews>
    <sheetView showGridLines="0" tabSelected="1" workbookViewId="0">
      <selection activeCell="B1" sqref="B1"/>
    </sheetView>
  </sheetViews>
  <sheetFormatPr defaultColWidth="0" defaultRowHeight="16.5" zeroHeight="1" x14ac:dyDescent="0.3"/>
  <cols>
    <col min="1" max="1" width="4.125" style="1" customWidth="1"/>
    <col min="2" max="2" width="4.625" style="1" customWidth="1"/>
    <col min="3" max="3" width="15.625" style="1" customWidth="1"/>
    <col min="4" max="4" width="74.25" style="1" customWidth="1"/>
    <col min="5" max="5" width="15.625" style="1" customWidth="1"/>
    <col min="6" max="6" width="4.625" style="1" customWidth="1"/>
    <col min="7" max="7" width="9" style="1" customWidth="1"/>
    <col min="8" max="16384" width="9" style="1" hidden="1"/>
  </cols>
  <sheetData>
    <row r="1" spans="2:6" x14ac:dyDescent="0.3"/>
    <row r="2" spans="2:6" ht="20.25" x14ac:dyDescent="0.35">
      <c r="B2" s="7"/>
      <c r="C2" s="147" t="s">
        <v>0</v>
      </c>
      <c r="D2" s="148"/>
      <c r="E2" s="149"/>
      <c r="F2" s="8"/>
    </row>
    <row r="3" spans="2:6" x14ac:dyDescent="0.3">
      <c r="C3" s="150" t="s">
        <v>151</v>
      </c>
      <c r="D3" s="150"/>
      <c r="E3" s="150"/>
    </row>
    <row r="4" spans="2:6" x14ac:dyDescent="0.3">
      <c r="C4" s="151"/>
      <c r="D4" s="151"/>
      <c r="E4" s="151"/>
    </row>
    <row r="5" spans="2:6" x14ac:dyDescent="0.3">
      <c r="D5" s="2" t="s">
        <v>1</v>
      </c>
    </row>
    <row r="6" spans="2:6" x14ac:dyDescent="0.3">
      <c r="D6" s="2" t="s">
        <v>2</v>
      </c>
    </row>
    <row r="7" spans="2:6" x14ac:dyDescent="0.3">
      <c r="D7" s="2" t="s">
        <v>3</v>
      </c>
    </row>
    <row r="8" spans="2:6" x14ac:dyDescent="0.3">
      <c r="D8" s="6"/>
    </row>
    <row r="9" spans="2:6" ht="44.1" customHeight="1" x14ac:dyDescent="0.3">
      <c r="C9" s="153" t="s">
        <v>118</v>
      </c>
      <c r="D9" s="153"/>
      <c r="E9" s="153"/>
    </row>
    <row r="10" spans="2:6" ht="89.25" customHeight="1" x14ac:dyDescent="0.3">
      <c r="C10" s="152" t="s">
        <v>132</v>
      </c>
      <c r="D10" s="152"/>
      <c r="E10" s="152"/>
    </row>
    <row r="11" spans="2:6" ht="13.5" customHeight="1" x14ac:dyDescent="0.3">
      <c r="C11" s="152"/>
      <c r="D11" s="152"/>
      <c r="E11" s="152"/>
    </row>
    <row r="12" spans="2:6" ht="9.75" customHeight="1" x14ac:dyDescent="0.3"/>
    <row r="13" spans="2:6" ht="74.25" customHeight="1" x14ac:dyDescent="0.3">
      <c r="C13" s="157" t="s">
        <v>155</v>
      </c>
      <c r="D13" s="158"/>
      <c r="E13" s="159"/>
    </row>
    <row r="14" spans="2:6" ht="6" customHeight="1" x14ac:dyDescent="0.3"/>
    <row r="15" spans="2:6" ht="20.25" x14ac:dyDescent="0.35">
      <c r="B15" s="7"/>
      <c r="C15" s="144"/>
      <c r="D15" s="145"/>
      <c r="E15" s="146"/>
      <c r="F15" s="8"/>
    </row>
    <row r="16" spans="2:6" x14ac:dyDescent="0.3"/>
  </sheetData>
  <sheetProtection selectLockedCells="1" selectUnlockedCells="1"/>
  <mergeCells count="8">
    <mergeCell ref="C15:E15"/>
    <mergeCell ref="C2:E2"/>
    <mergeCell ref="C3:E3"/>
    <mergeCell ref="C4:E4"/>
    <mergeCell ref="C11:E11"/>
    <mergeCell ref="C13:E13"/>
    <mergeCell ref="C9:E9"/>
    <mergeCell ref="C10:E1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DFD5E6-CBC5-4706-8CA4-AE623322CC5A}">
  <sheetPr codeName="Sheet2"/>
  <dimension ref="A1:P38"/>
  <sheetViews>
    <sheetView topLeftCell="A3" zoomScaleNormal="100" workbookViewId="0">
      <selection activeCell="J27" sqref="J27"/>
    </sheetView>
  </sheetViews>
  <sheetFormatPr defaultColWidth="0" defaultRowHeight="16.5" x14ac:dyDescent="0.3"/>
  <cols>
    <col min="1" max="1" width="3.25" style="1" customWidth="1"/>
    <col min="2" max="2" width="42.75" style="1" customWidth="1"/>
    <col min="3" max="4" width="10.375" style="1" customWidth="1"/>
    <col min="5" max="5" width="10.625" style="1" customWidth="1"/>
    <col min="6" max="7" width="11.375" style="1" customWidth="1"/>
    <col min="8" max="8" width="5.625" style="1" customWidth="1"/>
    <col min="9" max="9" width="36.875" style="1" customWidth="1"/>
    <col min="10" max="11" width="9" style="1" customWidth="1"/>
    <col min="12" max="12" width="11.375" style="1" customWidth="1"/>
    <col min="13" max="14" width="9" style="1" customWidth="1"/>
    <col min="15" max="15" width="13" style="1" customWidth="1"/>
    <col min="16" max="16" width="9" style="1" customWidth="1"/>
    <col min="17" max="16384" width="9" style="1" hidden="1"/>
  </cols>
  <sheetData>
    <row r="1" spans="2:16" ht="20.25" x14ac:dyDescent="0.35">
      <c r="B1" s="154" t="s">
        <v>111</v>
      </c>
      <c r="C1" s="155"/>
      <c r="D1" s="155"/>
      <c r="E1" s="155"/>
      <c r="F1" s="155"/>
      <c r="G1" s="156"/>
    </row>
    <row r="2" spans="2:16" ht="17.25" customHeight="1" x14ac:dyDescent="0.35">
      <c r="B2" s="10"/>
      <c r="C2" s="11"/>
      <c r="D2" s="11"/>
      <c r="E2" s="11"/>
      <c r="F2" s="11"/>
      <c r="G2" s="12"/>
      <c r="I2" s="51" t="s">
        <v>5</v>
      </c>
      <c r="J2" s="51"/>
      <c r="K2" s="51"/>
      <c r="L2" s="51"/>
      <c r="M2" s="51"/>
      <c r="N2" s="51"/>
      <c r="O2" s="51"/>
      <c r="P2" s="43"/>
    </row>
    <row r="3" spans="2:16" ht="17.25" customHeight="1" x14ac:dyDescent="0.3">
      <c r="B3" s="13" t="s">
        <v>6</v>
      </c>
      <c r="C3" s="99">
        <v>2</v>
      </c>
      <c r="D3" s="15" t="s">
        <v>7</v>
      </c>
      <c r="G3" s="16"/>
      <c r="I3" s="47" t="s">
        <v>8</v>
      </c>
      <c r="J3" s="47" t="s">
        <v>9</v>
      </c>
      <c r="K3" s="52" t="s">
        <v>10</v>
      </c>
      <c r="L3" s="31" t="s">
        <v>11</v>
      </c>
      <c r="M3" s="31" t="s">
        <v>12</v>
      </c>
      <c r="N3" s="31" t="s">
        <v>13</v>
      </c>
      <c r="O3" s="31" t="s">
        <v>14</v>
      </c>
      <c r="P3" s="31" t="s">
        <v>15</v>
      </c>
    </row>
    <row r="4" spans="2:16" ht="17.25" customHeight="1" x14ac:dyDescent="0.3">
      <c r="B4" s="34"/>
      <c r="C4" s="2"/>
      <c r="G4" s="16"/>
      <c r="I4" s="44"/>
      <c r="J4" s="44"/>
      <c r="K4" s="53" t="s">
        <v>53</v>
      </c>
      <c r="L4" s="45" t="s">
        <v>54</v>
      </c>
      <c r="M4" s="46"/>
      <c r="N4" s="45" t="s">
        <v>55</v>
      </c>
      <c r="O4" s="45"/>
      <c r="P4" s="45"/>
    </row>
    <row r="5" spans="2:16" ht="17.25" customHeight="1" x14ac:dyDescent="0.3">
      <c r="B5" s="38" t="s">
        <v>20</v>
      </c>
      <c r="C5" s="36" t="s">
        <v>149</v>
      </c>
      <c r="D5" s="37" t="s">
        <v>9</v>
      </c>
      <c r="E5" s="37" t="s">
        <v>22</v>
      </c>
      <c r="F5" s="37" t="s">
        <v>11</v>
      </c>
      <c r="G5" s="39" t="s">
        <v>23</v>
      </c>
      <c r="I5" s="48"/>
      <c r="J5" s="32" t="s">
        <v>16</v>
      </c>
      <c r="K5" s="32" t="s">
        <v>17</v>
      </c>
      <c r="L5" s="32" t="s">
        <v>17</v>
      </c>
      <c r="M5" s="32" t="s">
        <v>18</v>
      </c>
      <c r="N5" s="32" t="s">
        <v>19</v>
      </c>
      <c r="O5" s="32" t="s">
        <v>17</v>
      </c>
      <c r="P5" s="32" t="s">
        <v>17</v>
      </c>
    </row>
    <row r="6" spans="2:16" ht="17.25" customHeight="1" x14ac:dyDescent="0.3">
      <c r="B6" s="13" t="s">
        <v>134</v>
      </c>
      <c r="C6" s="15" t="s">
        <v>31</v>
      </c>
      <c r="D6" s="99">
        <v>2</v>
      </c>
      <c r="E6" s="100">
        <v>165</v>
      </c>
      <c r="F6" s="60">
        <f t="shared" ref="F6:F12" si="0">D6*E6</f>
        <v>330</v>
      </c>
      <c r="G6" s="135">
        <f t="shared" ref="G6:G15" si="1">F6/$C$3</f>
        <v>165</v>
      </c>
      <c r="I6" s="70" t="s">
        <v>24</v>
      </c>
      <c r="J6" s="32"/>
      <c r="K6" s="32"/>
      <c r="L6" s="32"/>
      <c r="M6" s="32"/>
      <c r="N6" s="32"/>
      <c r="O6" s="32"/>
      <c r="P6" s="32"/>
    </row>
    <row r="7" spans="2:16" ht="17.100000000000001" customHeight="1" x14ac:dyDescent="0.3">
      <c r="B7" s="13" t="s">
        <v>36</v>
      </c>
      <c r="C7" s="15" t="s">
        <v>69</v>
      </c>
      <c r="D7" s="105">
        <v>40</v>
      </c>
      <c r="E7" s="100">
        <v>20</v>
      </c>
      <c r="F7" s="60">
        <f>D7*E7</f>
        <v>800</v>
      </c>
      <c r="G7" s="135">
        <f>F7/$C$3</f>
        <v>400</v>
      </c>
      <c r="I7" s="99" t="s">
        <v>120</v>
      </c>
      <c r="J7" s="99">
        <v>2</v>
      </c>
      <c r="K7" s="100">
        <v>90</v>
      </c>
      <c r="L7" s="60">
        <f>J7*K7</f>
        <v>180</v>
      </c>
      <c r="M7" s="99">
        <v>10</v>
      </c>
      <c r="N7" s="102">
        <v>0</v>
      </c>
      <c r="O7" s="56">
        <f>IF(L7&gt;0,(L7-(L7*N7))/M7,"")</f>
        <v>18</v>
      </c>
      <c r="P7" s="56">
        <f>((L7+L7*N7)/2)*$D$19</f>
        <v>7.65</v>
      </c>
    </row>
    <row r="8" spans="2:16" ht="17.25" customHeight="1" x14ac:dyDescent="0.3">
      <c r="B8" s="13" t="s">
        <v>25</v>
      </c>
      <c r="C8" s="15" t="s">
        <v>72</v>
      </c>
      <c r="D8" s="105">
        <v>50</v>
      </c>
      <c r="E8" s="100">
        <v>0.75</v>
      </c>
      <c r="F8" s="60">
        <f t="shared" si="0"/>
        <v>37.5</v>
      </c>
      <c r="G8" s="135">
        <f t="shared" si="1"/>
        <v>18.75</v>
      </c>
      <c r="I8" s="99" t="s">
        <v>121</v>
      </c>
      <c r="J8" s="99">
        <v>2</v>
      </c>
      <c r="K8" s="100">
        <v>205</v>
      </c>
      <c r="L8" s="60">
        <f>J8*K8</f>
        <v>410</v>
      </c>
      <c r="M8" s="99">
        <v>10</v>
      </c>
      <c r="N8" s="102">
        <v>0</v>
      </c>
      <c r="O8" s="56">
        <f>IF(L8&gt;0,(L8-(L8*N8))/M8,"")</f>
        <v>41</v>
      </c>
      <c r="P8" s="56">
        <f>((L8+L8*N8)/2)*$D$19</f>
        <v>17.425000000000001</v>
      </c>
    </row>
    <row r="9" spans="2:16" ht="17.25" customHeight="1" x14ac:dyDescent="0.3">
      <c r="B9" s="13" t="s">
        <v>27</v>
      </c>
      <c r="C9" s="15" t="s">
        <v>72</v>
      </c>
      <c r="D9" s="105">
        <v>20</v>
      </c>
      <c r="E9" s="100">
        <v>2.5</v>
      </c>
      <c r="F9" s="60">
        <f t="shared" si="0"/>
        <v>50</v>
      </c>
      <c r="G9" s="135">
        <f t="shared" si="1"/>
        <v>25</v>
      </c>
      <c r="I9" s="99" t="s">
        <v>64</v>
      </c>
      <c r="J9" s="99">
        <v>2</v>
      </c>
      <c r="K9" s="100">
        <v>40</v>
      </c>
      <c r="L9" s="60">
        <f>J9*K9</f>
        <v>80</v>
      </c>
      <c r="M9" s="99">
        <v>10</v>
      </c>
      <c r="N9" s="102">
        <v>0</v>
      </c>
      <c r="O9" s="56">
        <f>IF(L9&gt;0,(L9-(L9*N9))/M9,"")</f>
        <v>8</v>
      </c>
      <c r="P9" s="56">
        <f>((L9+L9*N9)/2)*$D$19</f>
        <v>3.4000000000000004</v>
      </c>
    </row>
    <row r="10" spans="2:16" ht="17.25" customHeight="1" x14ac:dyDescent="0.3">
      <c r="B10" s="13" t="s">
        <v>135</v>
      </c>
      <c r="C10" s="15" t="s">
        <v>150</v>
      </c>
      <c r="D10" s="105">
        <v>24</v>
      </c>
      <c r="E10" s="100">
        <v>0.09</v>
      </c>
      <c r="F10" s="60">
        <f>D10*E10</f>
        <v>2.16</v>
      </c>
      <c r="G10" s="135">
        <f>F10/$C$3</f>
        <v>1.08</v>
      </c>
      <c r="I10" s="99" t="s">
        <v>122</v>
      </c>
      <c r="J10" s="99">
        <v>2</v>
      </c>
      <c r="K10" s="100">
        <v>65</v>
      </c>
      <c r="L10" s="60">
        <f t="shared" ref="L10:L12" si="2">J10*K10</f>
        <v>130</v>
      </c>
      <c r="M10" s="99">
        <v>10</v>
      </c>
      <c r="N10" s="102">
        <v>0</v>
      </c>
      <c r="O10" s="56">
        <f t="shared" ref="O10:O12" si="3">IF(L10&gt;0,(L10-(L10*N10))/M10,"")</f>
        <v>13</v>
      </c>
      <c r="P10" s="56">
        <f>((L10+L10*N10)/2)*$D$19</f>
        <v>5.5250000000000004</v>
      </c>
    </row>
    <row r="11" spans="2:16" ht="17.25" customHeight="1" x14ac:dyDescent="0.3">
      <c r="B11" s="13" t="s">
        <v>29</v>
      </c>
      <c r="C11" s="15" t="s">
        <v>72</v>
      </c>
      <c r="D11" s="105">
        <v>8</v>
      </c>
      <c r="E11" s="100">
        <v>0.43</v>
      </c>
      <c r="F11" s="60">
        <f t="shared" si="0"/>
        <v>3.44</v>
      </c>
      <c r="G11" s="135">
        <f t="shared" si="1"/>
        <v>1.72</v>
      </c>
      <c r="I11" s="99" t="s">
        <v>124</v>
      </c>
      <c r="J11" s="99">
        <v>1</v>
      </c>
      <c r="K11" s="100">
        <v>35</v>
      </c>
      <c r="L11" s="60">
        <f t="shared" si="2"/>
        <v>35</v>
      </c>
      <c r="M11" s="99">
        <v>10</v>
      </c>
      <c r="N11" s="102">
        <v>0</v>
      </c>
      <c r="O11" s="56">
        <f t="shared" si="3"/>
        <v>3.5</v>
      </c>
      <c r="P11" s="56">
        <f t="shared" ref="P11:P12" si="4">((L11+L11*N11)/2)*$D$19</f>
        <v>1.4875</v>
      </c>
    </row>
    <row r="12" spans="2:16" ht="17.25" customHeight="1" x14ac:dyDescent="0.3">
      <c r="B12" s="13" t="s">
        <v>33</v>
      </c>
      <c r="C12" s="15" t="s">
        <v>34</v>
      </c>
      <c r="D12" s="105">
        <v>30</v>
      </c>
      <c r="E12" s="100">
        <v>3.2</v>
      </c>
      <c r="F12" s="60">
        <f t="shared" si="0"/>
        <v>96</v>
      </c>
      <c r="G12" s="135">
        <f t="shared" si="1"/>
        <v>48</v>
      </c>
      <c r="I12" s="99" t="s">
        <v>125</v>
      </c>
      <c r="J12" s="99">
        <v>1</v>
      </c>
      <c r="K12" s="100">
        <v>150</v>
      </c>
      <c r="L12" s="60">
        <f t="shared" si="2"/>
        <v>150</v>
      </c>
      <c r="M12" s="99">
        <v>10</v>
      </c>
      <c r="N12" s="102">
        <v>0</v>
      </c>
      <c r="O12" s="56">
        <f t="shared" si="3"/>
        <v>15</v>
      </c>
      <c r="P12" s="56">
        <f t="shared" si="4"/>
        <v>6.3750000000000009</v>
      </c>
    </row>
    <row r="13" spans="2:16" ht="17.25" customHeight="1" x14ac:dyDescent="0.3">
      <c r="B13" s="13" t="s">
        <v>39</v>
      </c>
      <c r="C13" s="15" t="s">
        <v>148</v>
      </c>
      <c r="D13" s="111">
        <v>1.4999999999999999E-2</v>
      </c>
      <c r="E13" s="56"/>
      <c r="F13" s="60">
        <f>SUM(L21*D13)</f>
        <v>19.215</v>
      </c>
      <c r="G13" s="135">
        <f t="shared" si="1"/>
        <v>9.6074999999999999</v>
      </c>
      <c r="I13" s="99" t="s">
        <v>32</v>
      </c>
      <c r="J13" s="99">
        <v>1</v>
      </c>
      <c r="K13" s="100">
        <v>35</v>
      </c>
      <c r="L13" s="60">
        <f t="shared" ref="L13:L18" si="5">J13*K13</f>
        <v>35</v>
      </c>
      <c r="M13" s="99">
        <v>10</v>
      </c>
      <c r="N13" s="102">
        <v>0</v>
      </c>
      <c r="O13" s="56">
        <f t="shared" ref="O13:O18" si="6">IF(L13&gt;0,(L13-(L13*N13))/M13,"")</f>
        <v>3.5</v>
      </c>
      <c r="P13" s="56">
        <f t="shared" ref="P13:P20" si="7">((L13+L13*N13)/2)*$D$19</f>
        <v>1.4875</v>
      </c>
    </row>
    <row r="14" spans="2:16" ht="17.25" customHeight="1" x14ac:dyDescent="0.3">
      <c r="B14" s="13" t="s">
        <v>42</v>
      </c>
      <c r="C14" s="15" t="s">
        <v>40</v>
      </c>
      <c r="D14" s="18"/>
      <c r="E14" s="56"/>
      <c r="F14" s="106">
        <v>20</v>
      </c>
      <c r="G14" s="135">
        <f t="shared" si="1"/>
        <v>10</v>
      </c>
      <c r="I14" s="99" t="s">
        <v>30</v>
      </c>
      <c r="J14" s="99">
        <v>2</v>
      </c>
      <c r="K14" s="100">
        <v>12</v>
      </c>
      <c r="L14" s="60">
        <f t="shared" si="5"/>
        <v>24</v>
      </c>
      <c r="M14" s="99">
        <v>10</v>
      </c>
      <c r="N14" s="102">
        <v>0</v>
      </c>
      <c r="O14" s="56">
        <f t="shared" si="6"/>
        <v>2.4</v>
      </c>
      <c r="P14" s="56">
        <f t="shared" si="7"/>
        <v>1.02</v>
      </c>
    </row>
    <row r="15" spans="2:16" ht="17.25" customHeight="1" x14ac:dyDescent="0.3">
      <c r="B15" s="13" t="s">
        <v>152</v>
      </c>
      <c r="C15" s="15" t="s">
        <v>47</v>
      </c>
      <c r="D15" s="112">
        <v>8.5000000000000006E-2</v>
      </c>
      <c r="E15" s="56"/>
      <c r="F15" s="65">
        <f>SUM(F6:F14)/2*D15</f>
        <v>57.728387500000004</v>
      </c>
      <c r="G15" s="136">
        <f t="shared" si="1"/>
        <v>28.864193750000002</v>
      </c>
      <c r="I15" s="99" t="s">
        <v>38</v>
      </c>
      <c r="J15" s="99">
        <v>1</v>
      </c>
      <c r="K15" s="100">
        <v>13</v>
      </c>
      <c r="L15" s="60">
        <f t="shared" si="5"/>
        <v>13</v>
      </c>
      <c r="M15" s="99">
        <v>10</v>
      </c>
      <c r="N15" s="102">
        <v>0</v>
      </c>
      <c r="O15" s="56">
        <f>IF(L15&gt;0,(L15-(L15*N15))/M15,"")</f>
        <v>1.3</v>
      </c>
      <c r="P15" s="56">
        <f t="shared" si="7"/>
        <v>0.55249999999999999</v>
      </c>
    </row>
    <row r="16" spans="2:16" ht="17.25" customHeight="1" x14ac:dyDescent="0.3">
      <c r="B16" s="22" t="s">
        <v>44</v>
      </c>
      <c r="E16" s="54"/>
      <c r="F16" s="79">
        <f>SUM(F6:F15)</f>
        <v>1416.0433875000001</v>
      </c>
      <c r="G16" s="137">
        <f>SUM(G6:G15)</f>
        <v>708.02169375000005</v>
      </c>
      <c r="I16" s="99" t="s">
        <v>35</v>
      </c>
      <c r="J16" s="99">
        <v>2</v>
      </c>
      <c r="K16" s="100">
        <v>9</v>
      </c>
      <c r="L16" s="60">
        <f t="shared" si="5"/>
        <v>18</v>
      </c>
      <c r="M16" s="99">
        <v>10</v>
      </c>
      <c r="N16" s="102">
        <v>0</v>
      </c>
      <c r="O16" s="56">
        <f t="shared" si="6"/>
        <v>1.8</v>
      </c>
      <c r="P16" s="56">
        <f t="shared" si="7"/>
        <v>0.76500000000000001</v>
      </c>
    </row>
    <row r="17" spans="2:16" ht="17.25" customHeight="1" x14ac:dyDescent="0.3">
      <c r="B17" s="13"/>
      <c r="C17" s="17"/>
      <c r="D17" s="18"/>
      <c r="E17" s="56"/>
      <c r="F17" s="60"/>
      <c r="G17" s="135"/>
      <c r="I17" s="99" t="s">
        <v>43</v>
      </c>
      <c r="J17" s="99">
        <v>1</v>
      </c>
      <c r="K17" s="100">
        <v>50</v>
      </c>
      <c r="L17" s="60">
        <f t="shared" si="5"/>
        <v>50</v>
      </c>
      <c r="M17" s="99">
        <v>10</v>
      </c>
      <c r="N17" s="102">
        <v>0</v>
      </c>
      <c r="O17" s="56">
        <f t="shared" si="6"/>
        <v>5</v>
      </c>
      <c r="P17" s="56">
        <f t="shared" si="7"/>
        <v>2.125</v>
      </c>
    </row>
    <row r="18" spans="2:16" ht="17.25" customHeight="1" x14ac:dyDescent="0.3">
      <c r="B18" s="38" t="s">
        <v>45</v>
      </c>
      <c r="C18" s="36" t="s">
        <v>149</v>
      </c>
      <c r="D18" s="37" t="s">
        <v>9</v>
      </c>
      <c r="E18" s="37" t="s">
        <v>22</v>
      </c>
      <c r="F18" s="37" t="s">
        <v>11</v>
      </c>
      <c r="G18" s="39" t="s">
        <v>23</v>
      </c>
      <c r="I18" s="99" t="s">
        <v>123</v>
      </c>
      <c r="J18" s="99">
        <v>1</v>
      </c>
      <c r="K18" s="100">
        <v>10</v>
      </c>
      <c r="L18" s="60">
        <f t="shared" si="5"/>
        <v>10</v>
      </c>
      <c r="M18" s="99">
        <v>10</v>
      </c>
      <c r="N18" s="102">
        <v>0</v>
      </c>
      <c r="O18" s="56">
        <f t="shared" si="6"/>
        <v>1</v>
      </c>
      <c r="P18" s="56">
        <f t="shared" si="7"/>
        <v>0.42500000000000004</v>
      </c>
    </row>
    <row r="19" spans="2:16" ht="17.25" customHeight="1" x14ac:dyDescent="0.3">
      <c r="B19" s="13" t="s">
        <v>46</v>
      </c>
      <c r="C19" s="15" t="s">
        <v>47</v>
      </c>
      <c r="D19" s="138">
        <v>8.5000000000000006E-2</v>
      </c>
      <c r="E19" s="56"/>
      <c r="F19" s="60">
        <f>O21+P21</f>
        <v>173.02249999999998</v>
      </c>
      <c r="G19" s="135">
        <f>F19/$C$3</f>
        <v>86.51124999999999</v>
      </c>
      <c r="I19" s="99" t="s">
        <v>128</v>
      </c>
      <c r="J19" s="99">
        <v>2</v>
      </c>
      <c r="K19" s="100">
        <v>3</v>
      </c>
      <c r="L19" s="60">
        <f>J19*K19</f>
        <v>6</v>
      </c>
      <c r="M19" s="99">
        <v>10</v>
      </c>
      <c r="N19" s="102">
        <v>0</v>
      </c>
      <c r="O19" s="56">
        <f>IF(L19&gt;0,(L19-(L19*N19))/M19,"")</f>
        <v>0.6</v>
      </c>
      <c r="P19" s="56">
        <f t="shared" si="7"/>
        <v>0.255</v>
      </c>
    </row>
    <row r="20" spans="2:16" ht="17.25" customHeight="1" x14ac:dyDescent="0.3">
      <c r="B20" s="13" t="s">
        <v>48</v>
      </c>
      <c r="C20" s="15"/>
      <c r="D20" s="9"/>
      <c r="E20" s="56"/>
      <c r="F20" s="106">
        <v>100</v>
      </c>
      <c r="G20" s="135">
        <f>F20/$C$3</f>
        <v>50</v>
      </c>
      <c r="I20" s="99" t="s">
        <v>154</v>
      </c>
      <c r="J20" s="99">
        <v>1</v>
      </c>
      <c r="K20" s="101">
        <v>140</v>
      </c>
      <c r="L20" s="65">
        <f>J20*K20</f>
        <v>140</v>
      </c>
      <c r="M20" s="103">
        <v>10</v>
      </c>
      <c r="N20" s="104">
        <v>0</v>
      </c>
      <c r="O20" s="63">
        <f>IF(L20&gt;0,(L20-(L20*N20))/M20,"")</f>
        <v>14</v>
      </c>
      <c r="P20" s="63">
        <f t="shared" si="7"/>
        <v>5.95</v>
      </c>
    </row>
    <row r="21" spans="2:16" ht="17.25" customHeight="1" x14ac:dyDescent="0.3">
      <c r="B21" s="22" t="s">
        <v>49</v>
      </c>
      <c r="C21" s="15"/>
      <c r="D21" s="9"/>
      <c r="E21" s="56"/>
      <c r="F21" s="79">
        <f>SUM(F19:F20)</f>
        <v>273.02249999999998</v>
      </c>
      <c r="G21" s="137">
        <f>SUM(G19:G20)</f>
        <v>136.51124999999999</v>
      </c>
      <c r="K21" s="58" t="s">
        <v>11</v>
      </c>
      <c r="L21" s="61">
        <f>SUM(L7:L20)</f>
        <v>1281</v>
      </c>
      <c r="M21" s="2"/>
      <c r="N21" s="114"/>
      <c r="O21" s="82">
        <f>SUM(O7:O20)</f>
        <v>128.1</v>
      </c>
      <c r="P21" s="82">
        <f>SUM(P6:XFD15)</f>
        <v>44.922499999999999</v>
      </c>
    </row>
    <row r="22" spans="2:16" ht="17.25" customHeight="1" x14ac:dyDescent="0.3">
      <c r="B22" s="115"/>
      <c r="C22" s="116"/>
      <c r="D22" s="117"/>
      <c r="E22" s="63"/>
      <c r="F22" s="118"/>
      <c r="G22" s="139"/>
    </row>
    <row r="23" spans="2:16" ht="17.25" customHeight="1" thickBot="1" x14ac:dyDescent="0.35">
      <c r="B23" s="119"/>
      <c r="C23" s="120"/>
      <c r="D23" s="121"/>
      <c r="E23" s="122" t="s">
        <v>50</v>
      </c>
      <c r="F23" s="123">
        <f>F16+F21</f>
        <v>1689.0658875000001</v>
      </c>
      <c r="G23" s="140">
        <f>F23/$C$3</f>
        <v>844.53294375000007</v>
      </c>
    </row>
    <row r="24" spans="2:16" ht="17.25" customHeight="1" x14ac:dyDescent="0.3"/>
    <row r="25" spans="2:16" ht="17.25" customHeight="1" x14ac:dyDescent="0.3">
      <c r="L25" s="1" t="s">
        <v>153</v>
      </c>
    </row>
    <row r="26" spans="2:16" ht="17.25" customHeight="1" x14ac:dyDescent="0.3">
      <c r="E26" s="3"/>
    </row>
    <row r="27" spans="2:16" ht="17.25" customHeight="1" x14ac:dyDescent="0.3">
      <c r="D27" s="3"/>
    </row>
    <row r="28" spans="2:16" ht="17.25" customHeight="1" x14ac:dyDescent="0.3"/>
    <row r="29" spans="2:16" ht="17.25" customHeight="1" x14ac:dyDescent="0.3">
      <c r="I29" s="141"/>
      <c r="J29" s="141"/>
      <c r="K29" s="142"/>
    </row>
    <row r="30" spans="2:16" ht="17.25" customHeight="1" x14ac:dyDescent="0.3"/>
    <row r="31" spans="2:16" ht="17.25" customHeight="1" x14ac:dyDescent="0.3">
      <c r="I31" s="141"/>
      <c r="J31" s="141"/>
      <c r="K31" s="142"/>
    </row>
    <row r="32" spans="2:16" ht="17.25" customHeight="1" x14ac:dyDescent="0.3"/>
    <row r="33" spans="9:11" ht="17.25" customHeight="1" x14ac:dyDescent="0.3">
      <c r="I33" s="141"/>
      <c r="J33" s="141"/>
      <c r="K33" s="142"/>
    </row>
    <row r="34" spans="9:11" x14ac:dyDescent="0.3">
      <c r="I34" s="141"/>
      <c r="J34" s="141"/>
      <c r="K34" s="142"/>
    </row>
    <row r="35" spans="9:11" x14ac:dyDescent="0.3">
      <c r="I35" s="141"/>
      <c r="J35" s="141"/>
      <c r="K35" s="142"/>
    </row>
    <row r="36" spans="9:11" x14ac:dyDescent="0.3">
      <c r="I36" s="141"/>
      <c r="J36" s="141"/>
      <c r="K36" s="143"/>
    </row>
    <row r="38" spans="9:11" x14ac:dyDescent="0.3">
      <c r="K38" s="3"/>
    </row>
  </sheetData>
  <sheetProtection sheet="1" objects="1" scenarios="1"/>
  <mergeCells count="1">
    <mergeCell ref="B1:G1"/>
  </mergeCells>
  <pageMargins left="0.7" right="0.7" top="0.75" bottom="0.75" header="0.3" footer="0.3"/>
  <pageSetup orientation="portrait" r:id="rId1"/>
  <ignoredErrors>
    <ignoredError sqref="F13"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F5093-66E2-467D-AF36-BC9721CE3CB2}">
  <sheetPr codeName="Sheet3"/>
  <dimension ref="A1:Q89"/>
  <sheetViews>
    <sheetView zoomScaleNormal="100" workbookViewId="0">
      <selection activeCell="E25" sqref="E25"/>
    </sheetView>
  </sheetViews>
  <sheetFormatPr defaultColWidth="0" defaultRowHeight="16.5" zeroHeight="1" x14ac:dyDescent="0.3"/>
  <cols>
    <col min="1" max="1" width="3.25" style="1" customWidth="1"/>
    <col min="2" max="2" width="42.75" style="1" customWidth="1"/>
    <col min="3" max="4" width="10.375" style="1" customWidth="1"/>
    <col min="5" max="5" width="10.625" style="1" customWidth="1"/>
    <col min="6" max="7" width="11.375" style="1" customWidth="1"/>
    <col min="8" max="8" width="9" style="1" customWidth="1"/>
    <col min="9" max="9" width="5.625" style="1" customWidth="1"/>
    <col min="10" max="10" width="33" style="1" customWidth="1"/>
    <col min="11" max="12" width="9" style="1" customWidth="1"/>
    <col min="13" max="13" width="11.375" style="1" customWidth="1"/>
    <col min="14" max="15" width="9" style="1" customWidth="1"/>
    <col min="16" max="16" width="13" style="1" customWidth="1"/>
    <col min="17" max="17" width="9" style="1" customWidth="1"/>
    <col min="18" max="16384" width="9" style="1" hidden="1"/>
  </cols>
  <sheetData>
    <row r="1" spans="2:17" ht="20.25" x14ac:dyDescent="0.35">
      <c r="B1" s="154" t="s">
        <v>133</v>
      </c>
      <c r="C1" s="155"/>
      <c r="D1" s="155"/>
      <c r="E1" s="155"/>
      <c r="F1" s="155"/>
      <c r="G1" s="155"/>
      <c r="H1" s="156"/>
    </row>
    <row r="2" spans="2:17" ht="17.25" customHeight="1" x14ac:dyDescent="0.35">
      <c r="B2" s="10"/>
      <c r="C2" s="11"/>
      <c r="D2" s="11"/>
      <c r="E2" s="11"/>
      <c r="F2" s="11"/>
      <c r="G2" s="11"/>
      <c r="H2" s="12"/>
      <c r="J2" s="51" t="s">
        <v>5</v>
      </c>
      <c r="K2" s="51"/>
      <c r="L2" s="51"/>
      <c r="M2" s="51"/>
      <c r="N2" s="51"/>
      <c r="O2" s="51"/>
      <c r="P2" s="51"/>
      <c r="Q2" s="43"/>
    </row>
    <row r="3" spans="2:17" ht="17.25" customHeight="1" x14ac:dyDescent="0.3">
      <c r="B3" s="13" t="s">
        <v>6</v>
      </c>
      <c r="C3" s="99">
        <v>10</v>
      </c>
      <c r="D3" s="15" t="s">
        <v>7</v>
      </c>
      <c r="H3" s="16"/>
      <c r="J3" s="47" t="s">
        <v>8</v>
      </c>
      <c r="K3" s="47" t="s">
        <v>9</v>
      </c>
      <c r="L3" s="52" t="s">
        <v>10</v>
      </c>
      <c r="M3" s="31" t="s">
        <v>11</v>
      </c>
      <c r="N3" s="31" t="s">
        <v>12</v>
      </c>
      <c r="O3" s="31" t="s">
        <v>13</v>
      </c>
      <c r="P3" s="31" t="s">
        <v>14</v>
      </c>
      <c r="Q3" s="31" t="s">
        <v>15</v>
      </c>
    </row>
    <row r="4" spans="2:17" ht="17.25" customHeight="1" x14ac:dyDescent="0.3">
      <c r="B4" s="13" t="s">
        <v>51</v>
      </c>
      <c r="C4" s="99">
        <v>60</v>
      </c>
      <c r="D4" s="15" t="s">
        <v>52</v>
      </c>
      <c r="H4" s="16"/>
      <c r="J4" s="44"/>
      <c r="K4" s="44"/>
      <c r="L4" s="53" t="s">
        <v>53</v>
      </c>
      <c r="M4" s="45" t="s">
        <v>54</v>
      </c>
      <c r="N4" s="46"/>
      <c r="O4" s="45" t="s">
        <v>55</v>
      </c>
      <c r="P4" s="45"/>
      <c r="Q4" s="45"/>
    </row>
    <row r="5" spans="2:17" ht="17.25" customHeight="1" x14ac:dyDescent="0.3">
      <c r="B5" s="34"/>
      <c r="C5" s="2"/>
      <c r="H5" s="16"/>
      <c r="J5" s="48"/>
      <c r="K5" s="32" t="s">
        <v>16</v>
      </c>
      <c r="L5" s="32" t="s">
        <v>17</v>
      </c>
      <c r="M5" s="32" t="s">
        <v>17</v>
      </c>
      <c r="N5" s="32" t="s">
        <v>18</v>
      </c>
      <c r="O5" s="32" t="s">
        <v>19</v>
      </c>
      <c r="P5" s="32" t="s">
        <v>17</v>
      </c>
      <c r="Q5" s="32" t="s">
        <v>17</v>
      </c>
    </row>
    <row r="6" spans="2:17" ht="17.25" customHeight="1" x14ac:dyDescent="0.3">
      <c r="B6" s="38" t="s">
        <v>56</v>
      </c>
      <c r="C6" s="36" t="s">
        <v>149</v>
      </c>
      <c r="D6" s="37" t="s">
        <v>9</v>
      </c>
      <c r="E6" s="37" t="s">
        <v>22</v>
      </c>
      <c r="F6" s="37" t="s">
        <v>11</v>
      </c>
      <c r="G6" s="37" t="s">
        <v>23</v>
      </c>
      <c r="H6" s="39" t="s">
        <v>57</v>
      </c>
      <c r="J6" s="70" t="s">
        <v>24</v>
      </c>
      <c r="K6" s="32"/>
      <c r="L6" s="32"/>
      <c r="M6" s="32"/>
      <c r="N6" s="32"/>
      <c r="O6" s="32"/>
      <c r="P6" s="32"/>
      <c r="Q6" s="32"/>
    </row>
    <row r="7" spans="2:17" ht="17.25" customHeight="1" x14ac:dyDescent="0.3">
      <c r="B7" s="13" t="s">
        <v>58</v>
      </c>
      <c r="C7" s="17" t="s">
        <v>72</v>
      </c>
      <c r="D7" s="18">
        <f>C3*C4</f>
        <v>600</v>
      </c>
      <c r="E7" s="100">
        <v>10.61</v>
      </c>
      <c r="F7" s="60">
        <f>D7*E7</f>
        <v>6366</v>
      </c>
      <c r="G7" s="60">
        <f>F7/$C$3</f>
        <v>636.6</v>
      </c>
      <c r="H7" s="57">
        <f>F7/$D$7</f>
        <v>10.61</v>
      </c>
      <c r="J7" s="99" t="s">
        <v>120</v>
      </c>
      <c r="K7" s="99">
        <v>5</v>
      </c>
      <c r="L7" s="100">
        <v>90</v>
      </c>
      <c r="M7" s="60">
        <f t="shared" ref="M7:M8" si="0">K7*L7</f>
        <v>450</v>
      </c>
      <c r="N7" s="99">
        <v>10</v>
      </c>
      <c r="O7" s="102">
        <v>0</v>
      </c>
      <c r="P7" s="56">
        <f t="shared" ref="P7:P8" si="1">IF(M7&gt;0,(M7-(M7*O7))/N7,"")</f>
        <v>45</v>
      </c>
      <c r="Q7" s="56">
        <f t="shared" ref="Q7:Q22" si="2">((M7+M7*O7)/2)*$D$31</f>
        <v>19.125</v>
      </c>
    </row>
    <row r="8" spans="2:17" ht="17.25" customHeight="1" x14ac:dyDescent="0.3">
      <c r="B8" s="107" t="s">
        <v>141</v>
      </c>
      <c r="C8" s="108" t="s">
        <v>72</v>
      </c>
      <c r="D8" s="105">
        <v>10</v>
      </c>
      <c r="E8" s="100">
        <v>15</v>
      </c>
      <c r="F8" s="60">
        <f>D8*E8</f>
        <v>150</v>
      </c>
      <c r="G8" s="60">
        <f>F8/$C$3</f>
        <v>15</v>
      </c>
      <c r="H8" s="57">
        <f>F8/$D$7</f>
        <v>0.25</v>
      </c>
      <c r="J8" s="99" t="s">
        <v>59</v>
      </c>
      <c r="K8" s="99">
        <v>20</v>
      </c>
      <c r="L8" s="100">
        <v>70</v>
      </c>
      <c r="M8" s="60">
        <f t="shared" si="0"/>
        <v>1400</v>
      </c>
      <c r="N8" s="99">
        <v>10</v>
      </c>
      <c r="O8" s="102">
        <v>0</v>
      </c>
      <c r="P8" s="56">
        <f t="shared" si="1"/>
        <v>140</v>
      </c>
      <c r="Q8" s="56">
        <f t="shared" si="2"/>
        <v>59.500000000000007</v>
      </c>
    </row>
    <row r="9" spans="2:17" ht="17.25" customHeight="1" x14ac:dyDescent="0.3">
      <c r="B9" s="107" t="s">
        <v>63</v>
      </c>
      <c r="C9" s="108"/>
      <c r="D9" s="105">
        <v>0</v>
      </c>
      <c r="E9" s="100">
        <v>0</v>
      </c>
      <c r="F9" s="60">
        <f>D9*E9</f>
        <v>0</v>
      </c>
      <c r="G9" s="60">
        <f>F9/$C$3</f>
        <v>0</v>
      </c>
      <c r="H9" s="57">
        <f>F9/$D$7</f>
        <v>0</v>
      </c>
      <c r="J9" s="99" t="s">
        <v>62</v>
      </c>
      <c r="K9" s="99">
        <v>10</v>
      </c>
      <c r="L9" s="100">
        <v>65</v>
      </c>
      <c r="M9" s="60">
        <f t="shared" ref="M9:M22" si="3">K9*L9</f>
        <v>650</v>
      </c>
      <c r="N9" s="99">
        <v>10</v>
      </c>
      <c r="O9" s="102">
        <v>0</v>
      </c>
      <c r="P9" s="56">
        <f t="shared" ref="P9:P22" si="4">IF(M9&gt;0,(M9-(M9*O9))/N9,"")</f>
        <v>65</v>
      </c>
      <c r="Q9" s="56">
        <f t="shared" si="2"/>
        <v>27.625000000000004</v>
      </c>
    </row>
    <row r="10" spans="2:17" ht="17.25" customHeight="1" x14ac:dyDescent="0.3">
      <c r="B10" s="107" t="s">
        <v>65</v>
      </c>
      <c r="C10" s="108"/>
      <c r="D10" s="105">
        <v>0</v>
      </c>
      <c r="E10" s="100">
        <v>0</v>
      </c>
      <c r="F10" s="65">
        <f>D10*E10</f>
        <v>0</v>
      </c>
      <c r="G10" s="65">
        <f>F10/$C$3</f>
        <v>0</v>
      </c>
      <c r="H10" s="64">
        <f>F10/$D$7</f>
        <v>0</v>
      </c>
      <c r="J10" s="99" t="s">
        <v>64</v>
      </c>
      <c r="K10" s="99">
        <v>10</v>
      </c>
      <c r="L10" s="100">
        <v>40</v>
      </c>
      <c r="M10" s="60">
        <f t="shared" si="3"/>
        <v>400</v>
      </c>
      <c r="N10" s="99">
        <v>10</v>
      </c>
      <c r="O10" s="102">
        <v>0</v>
      </c>
      <c r="P10" s="56">
        <f t="shared" si="4"/>
        <v>40</v>
      </c>
      <c r="Q10" s="56">
        <f t="shared" si="2"/>
        <v>17</v>
      </c>
    </row>
    <row r="11" spans="2:17" ht="17.25" customHeight="1" x14ac:dyDescent="0.3">
      <c r="B11" s="13"/>
      <c r="E11" s="22" t="s">
        <v>117</v>
      </c>
      <c r="F11" s="61">
        <f>SUM(F7:F10)</f>
        <v>6516</v>
      </c>
      <c r="G11" s="61">
        <f>SUM(G7:G10)</f>
        <v>651.6</v>
      </c>
      <c r="H11" s="59">
        <f>F11/$D$7</f>
        <v>10.86</v>
      </c>
      <c r="J11" s="99" t="s">
        <v>122</v>
      </c>
      <c r="K11" s="99">
        <v>10</v>
      </c>
      <c r="L11" s="100">
        <v>65</v>
      </c>
      <c r="M11" s="60">
        <f t="shared" si="3"/>
        <v>650</v>
      </c>
      <c r="N11" s="99">
        <v>10</v>
      </c>
      <c r="O11" s="102">
        <v>0</v>
      </c>
      <c r="P11" s="56">
        <f t="shared" si="4"/>
        <v>65</v>
      </c>
      <c r="Q11" s="56">
        <f t="shared" si="2"/>
        <v>27.625000000000004</v>
      </c>
    </row>
    <row r="12" spans="2:17" ht="17.25" customHeight="1" x14ac:dyDescent="0.3">
      <c r="B12" s="13"/>
      <c r="H12" s="16"/>
      <c r="J12" s="99" t="s">
        <v>124</v>
      </c>
      <c r="K12" s="99">
        <v>5</v>
      </c>
      <c r="L12" s="100">
        <v>35</v>
      </c>
      <c r="M12" s="60">
        <f t="shared" si="3"/>
        <v>175</v>
      </c>
      <c r="N12" s="99">
        <v>10</v>
      </c>
      <c r="O12" s="102">
        <v>0</v>
      </c>
      <c r="P12" s="56">
        <f t="shared" si="4"/>
        <v>17.5</v>
      </c>
      <c r="Q12" s="56">
        <f t="shared" si="2"/>
        <v>7.4375000000000009</v>
      </c>
    </row>
    <row r="13" spans="2:17" ht="17.25" customHeight="1" x14ac:dyDescent="0.3">
      <c r="B13" s="38" t="s">
        <v>20</v>
      </c>
      <c r="C13" s="36" t="s">
        <v>149</v>
      </c>
      <c r="D13" s="37" t="s">
        <v>9</v>
      </c>
      <c r="E13" s="37" t="s">
        <v>22</v>
      </c>
      <c r="F13" s="37" t="s">
        <v>11</v>
      </c>
      <c r="G13" s="37" t="s">
        <v>23</v>
      </c>
      <c r="H13" s="39" t="s">
        <v>57</v>
      </c>
      <c r="J13" s="99" t="s">
        <v>125</v>
      </c>
      <c r="K13" s="99">
        <v>1</v>
      </c>
      <c r="L13" s="100">
        <v>150</v>
      </c>
      <c r="M13" s="60">
        <f t="shared" si="3"/>
        <v>150</v>
      </c>
      <c r="N13" s="99">
        <v>10</v>
      </c>
      <c r="O13" s="102">
        <v>0</v>
      </c>
      <c r="P13" s="56">
        <f t="shared" si="4"/>
        <v>15</v>
      </c>
      <c r="Q13" s="56">
        <f t="shared" si="2"/>
        <v>6.3750000000000009</v>
      </c>
    </row>
    <row r="14" spans="2:17" ht="17.25" customHeight="1" x14ac:dyDescent="0.3">
      <c r="B14" s="13" t="s">
        <v>139</v>
      </c>
      <c r="C14" s="15" t="s">
        <v>68</v>
      </c>
      <c r="D14" s="109">
        <v>3</v>
      </c>
      <c r="E14" s="100">
        <v>165</v>
      </c>
      <c r="F14" s="60">
        <f t="shared" ref="F14:F16" si="5">D14*E14</f>
        <v>495</v>
      </c>
      <c r="G14" s="60">
        <f t="shared" ref="G14:G16" si="6">F14/$C$3</f>
        <v>49.5</v>
      </c>
      <c r="H14" s="57">
        <f t="shared" ref="H14:H16" si="7">F14/$D$7</f>
        <v>0.82499999999999996</v>
      </c>
      <c r="J14" s="99" t="s">
        <v>32</v>
      </c>
      <c r="K14" s="99">
        <v>3</v>
      </c>
      <c r="L14" s="100">
        <v>35</v>
      </c>
      <c r="M14" s="60">
        <f t="shared" si="3"/>
        <v>105</v>
      </c>
      <c r="N14" s="99">
        <v>10</v>
      </c>
      <c r="O14" s="102">
        <v>0</v>
      </c>
      <c r="P14" s="56">
        <f t="shared" si="4"/>
        <v>10.5</v>
      </c>
      <c r="Q14" s="56">
        <f t="shared" si="2"/>
        <v>4.4625000000000004</v>
      </c>
    </row>
    <row r="15" spans="2:17" ht="17.25" customHeight="1" x14ac:dyDescent="0.3">
      <c r="B15" s="13" t="s">
        <v>36</v>
      </c>
      <c r="C15" s="15" t="s">
        <v>69</v>
      </c>
      <c r="D15" s="99">
        <v>180</v>
      </c>
      <c r="E15" s="100">
        <v>20</v>
      </c>
      <c r="F15" s="60">
        <f t="shared" si="5"/>
        <v>3600</v>
      </c>
      <c r="G15" s="60">
        <f t="shared" si="6"/>
        <v>360</v>
      </c>
      <c r="H15" s="57">
        <f t="shared" si="7"/>
        <v>6</v>
      </c>
      <c r="J15" s="99" t="s">
        <v>30</v>
      </c>
      <c r="K15" s="99">
        <v>10</v>
      </c>
      <c r="L15" s="100">
        <v>12</v>
      </c>
      <c r="M15" s="60">
        <f t="shared" si="3"/>
        <v>120</v>
      </c>
      <c r="N15" s="99">
        <v>10</v>
      </c>
      <c r="O15" s="102">
        <v>0</v>
      </c>
      <c r="P15" s="56">
        <f t="shared" si="4"/>
        <v>12</v>
      </c>
      <c r="Q15" s="56">
        <f t="shared" si="2"/>
        <v>5.1000000000000005</v>
      </c>
    </row>
    <row r="16" spans="2:17" ht="17.25" customHeight="1" x14ac:dyDescent="0.3">
      <c r="B16" s="13" t="s">
        <v>70</v>
      </c>
      <c r="C16" s="15" t="s">
        <v>69</v>
      </c>
      <c r="D16" s="99">
        <v>120</v>
      </c>
      <c r="E16" s="100">
        <v>20</v>
      </c>
      <c r="F16" s="60">
        <f t="shared" si="5"/>
        <v>2400</v>
      </c>
      <c r="G16" s="60">
        <f t="shared" si="6"/>
        <v>240</v>
      </c>
      <c r="H16" s="57">
        <f t="shared" si="7"/>
        <v>4</v>
      </c>
      <c r="J16" s="99" t="s">
        <v>38</v>
      </c>
      <c r="K16" s="99">
        <v>1</v>
      </c>
      <c r="L16" s="100">
        <v>13</v>
      </c>
      <c r="M16" s="60">
        <f t="shared" si="3"/>
        <v>13</v>
      </c>
      <c r="N16" s="99">
        <v>10</v>
      </c>
      <c r="O16" s="102">
        <v>0</v>
      </c>
      <c r="P16" s="56">
        <f t="shared" si="4"/>
        <v>1.3</v>
      </c>
      <c r="Q16" s="56">
        <f t="shared" si="2"/>
        <v>0.55249999999999999</v>
      </c>
    </row>
    <row r="17" spans="2:17" ht="17.25" customHeight="1" x14ac:dyDescent="0.3">
      <c r="B17" s="13" t="s">
        <v>71</v>
      </c>
      <c r="C17" s="15" t="s">
        <v>72</v>
      </c>
      <c r="D17" s="99">
        <v>100</v>
      </c>
      <c r="E17" s="100">
        <v>0.75</v>
      </c>
      <c r="F17" s="60">
        <f t="shared" ref="F17:F23" si="8">D17*E17</f>
        <v>75</v>
      </c>
      <c r="G17" s="60">
        <f t="shared" ref="G17:G27" si="9">F17/$C$3</f>
        <v>7.5</v>
      </c>
      <c r="H17" s="57">
        <f t="shared" ref="H17:H27" si="10">F17/$D$7</f>
        <v>0.125</v>
      </c>
      <c r="J17" s="99" t="s">
        <v>35</v>
      </c>
      <c r="K17" s="99">
        <v>5</v>
      </c>
      <c r="L17" s="100">
        <v>9</v>
      </c>
      <c r="M17" s="60">
        <f t="shared" si="3"/>
        <v>45</v>
      </c>
      <c r="N17" s="99">
        <v>10</v>
      </c>
      <c r="O17" s="102">
        <v>0</v>
      </c>
      <c r="P17" s="56">
        <f t="shared" si="4"/>
        <v>4.5</v>
      </c>
      <c r="Q17" s="56">
        <f t="shared" si="2"/>
        <v>1.9125000000000001</v>
      </c>
    </row>
    <row r="18" spans="2:17" ht="17.25" customHeight="1" x14ac:dyDescent="0.3">
      <c r="B18" s="13" t="s">
        <v>27</v>
      </c>
      <c r="C18" s="15" t="s">
        <v>72</v>
      </c>
      <c r="D18" s="99">
        <v>50</v>
      </c>
      <c r="E18" s="100">
        <v>2.75</v>
      </c>
      <c r="F18" s="60">
        <f t="shared" si="8"/>
        <v>137.5</v>
      </c>
      <c r="G18" s="60">
        <f t="shared" si="9"/>
        <v>13.75</v>
      </c>
      <c r="H18" s="57">
        <f t="shared" si="10"/>
        <v>0.22916666666666666</v>
      </c>
      <c r="J18" s="99" t="s">
        <v>43</v>
      </c>
      <c r="K18" s="99">
        <v>1</v>
      </c>
      <c r="L18" s="100">
        <v>50</v>
      </c>
      <c r="M18" s="60">
        <f t="shared" si="3"/>
        <v>50</v>
      </c>
      <c r="N18" s="99">
        <v>10</v>
      </c>
      <c r="O18" s="102">
        <v>0</v>
      </c>
      <c r="P18" s="56">
        <f t="shared" si="4"/>
        <v>5</v>
      </c>
      <c r="Q18" s="56">
        <f t="shared" si="2"/>
        <v>2.125</v>
      </c>
    </row>
    <row r="19" spans="2:17" ht="17.25" customHeight="1" x14ac:dyDescent="0.3">
      <c r="B19" s="13" t="s">
        <v>135</v>
      </c>
      <c r="C19" s="15" t="s">
        <v>150</v>
      </c>
      <c r="D19" s="109">
        <v>120</v>
      </c>
      <c r="E19" s="100">
        <v>0.09</v>
      </c>
      <c r="F19" s="60">
        <f t="shared" si="8"/>
        <v>10.799999999999999</v>
      </c>
      <c r="G19" s="60">
        <f t="shared" si="9"/>
        <v>1.0799999999999998</v>
      </c>
      <c r="H19" s="57">
        <f t="shared" si="10"/>
        <v>1.7999999999999999E-2</v>
      </c>
      <c r="J19" s="99" t="s">
        <v>123</v>
      </c>
      <c r="K19" s="99">
        <v>1</v>
      </c>
      <c r="L19" s="100">
        <v>10</v>
      </c>
      <c r="M19" s="60">
        <f t="shared" si="3"/>
        <v>10</v>
      </c>
      <c r="N19" s="99">
        <v>10</v>
      </c>
      <c r="O19" s="102">
        <v>0</v>
      </c>
      <c r="P19" s="56">
        <f t="shared" si="4"/>
        <v>1</v>
      </c>
      <c r="Q19" s="56">
        <f t="shared" si="2"/>
        <v>0.42500000000000004</v>
      </c>
    </row>
    <row r="20" spans="2:17" ht="17.25" customHeight="1" x14ac:dyDescent="0.3">
      <c r="B20" s="13" t="s">
        <v>29</v>
      </c>
      <c r="C20" s="15" t="s">
        <v>72</v>
      </c>
      <c r="D20" s="110">
        <v>40</v>
      </c>
      <c r="E20" s="100">
        <v>0.42499999999999999</v>
      </c>
      <c r="F20" s="60">
        <f t="shared" si="8"/>
        <v>17</v>
      </c>
      <c r="G20" s="60">
        <f t="shared" si="9"/>
        <v>1.7</v>
      </c>
      <c r="H20" s="57">
        <f t="shared" si="10"/>
        <v>2.8333333333333332E-2</v>
      </c>
      <c r="J20" s="99" t="s">
        <v>128</v>
      </c>
      <c r="K20" s="99">
        <v>10</v>
      </c>
      <c r="L20" s="100">
        <v>3</v>
      </c>
      <c r="M20" s="60">
        <f t="shared" si="3"/>
        <v>30</v>
      </c>
      <c r="N20" s="99">
        <v>10</v>
      </c>
      <c r="O20" s="102">
        <v>0</v>
      </c>
      <c r="P20" s="56">
        <f t="shared" si="4"/>
        <v>3</v>
      </c>
      <c r="Q20" s="56">
        <f t="shared" si="2"/>
        <v>1.2750000000000001</v>
      </c>
    </row>
    <row r="21" spans="2:17" ht="17.25" customHeight="1" x14ac:dyDescent="0.3">
      <c r="B21" s="13" t="s">
        <v>76</v>
      </c>
      <c r="C21" s="15" t="s">
        <v>61</v>
      </c>
      <c r="D21" s="110">
        <v>600</v>
      </c>
      <c r="E21" s="100">
        <v>0.8</v>
      </c>
      <c r="F21" s="60">
        <f t="shared" si="8"/>
        <v>480</v>
      </c>
      <c r="G21" s="60">
        <f t="shared" si="9"/>
        <v>48</v>
      </c>
      <c r="H21" s="57">
        <f t="shared" si="10"/>
        <v>0.8</v>
      </c>
      <c r="J21" s="99" t="s">
        <v>41</v>
      </c>
      <c r="K21" s="99">
        <v>1</v>
      </c>
      <c r="L21" s="100">
        <v>140</v>
      </c>
      <c r="M21" s="60">
        <f t="shared" si="3"/>
        <v>140</v>
      </c>
      <c r="N21" s="99">
        <v>10</v>
      </c>
      <c r="O21" s="102">
        <v>0</v>
      </c>
      <c r="P21" s="56">
        <f t="shared" si="4"/>
        <v>14</v>
      </c>
      <c r="Q21" s="56">
        <f t="shared" si="2"/>
        <v>5.95</v>
      </c>
    </row>
    <row r="22" spans="2:17" ht="17.25" customHeight="1" x14ac:dyDescent="0.3">
      <c r="B22" s="13" t="s">
        <v>126</v>
      </c>
      <c r="C22" s="15" t="s">
        <v>61</v>
      </c>
      <c r="D22" s="110">
        <v>600</v>
      </c>
      <c r="E22" s="100">
        <v>0.15</v>
      </c>
      <c r="F22" s="60">
        <f t="shared" si="8"/>
        <v>90</v>
      </c>
      <c r="G22" s="60">
        <f t="shared" si="9"/>
        <v>9</v>
      </c>
      <c r="H22" s="57">
        <f t="shared" si="10"/>
        <v>0.15</v>
      </c>
      <c r="J22" s="99" t="s">
        <v>138</v>
      </c>
      <c r="K22" s="99">
        <v>1</v>
      </c>
      <c r="L22" s="100">
        <v>350</v>
      </c>
      <c r="M22" s="60">
        <f t="shared" si="3"/>
        <v>350</v>
      </c>
      <c r="N22" s="99">
        <v>15</v>
      </c>
      <c r="O22" s="102">
        <v>0</v>
      </c>
      <c r="P22" s="56">
        <f t="shared" si="4"/>
        <v>23.333333333333332</v>
      </c>
      <c r="Q22" s="56">
        <f t="shared" si="2"/>
        <v>14.875000000000002</v>
      </c>
    </row>
    <row r="23" spans="2:17" ht="17.25" customHeight="1" x14ac:dyDescent="0.3">
      <c r="B23" s="13" t="s">
        <v>146</v>
      </c>
      <c r="C23" s="15" t="s">
        <v>34</v>
      </c>
      <c r="D23" s="99">
        <v>150</v>
      </c>
      <c r="E23" s="100">
        <v>3.2</v>
      </c>
      <c r="F23" s="60">
        <f t="shared" si="8"/>
        <v>480</v>
      </c>
      <c r="G23" s="60">
        <f t="shared" si="9"/>
        <v>48</v>
      </c>
      <c r="H23" s="57">
        <f t="shared" si="10"/>
        <v>0.8</v>
      </c>
      <c r="M23" s="60"/>
    </row>
    <row r="24" spans="2:17" ht="17.25" customHeight="1" x14ac:dyDescent="0.3">
      <c r="B24" s="13" t="s">
        <v>119</v>
      </c>
      <c r="C24" s="15" t="s">
        <v>81</v>
      </c>
      <c r="D24" s="111">
        <v>0.15</v>
      </c>
      <c r="E24" s="56"/>
      <c r="F24" s="60">
        <f>F11*D24</f>
        <v>977.4</v>
      </c>
      <c r="G24" s="60">
        <f t="shared" si="9"/>
        <v>97.74</v>
      </c>
      <c r="H24" s="57">
        <f t="shared" si="10"/>
        <v>1.629</v>
      </c>
      <c r="J24" s="70" t="s">
        <v>74</v>
      </c>
      <c r="L24" s="56"/>
      <c r="M24" s="60"/>
      <c r="O24" s="71"/>
      <c r="P24" s="56"/>
      <c r="Q24" s="56"/>
    </row>
    <row r="25" spans="2:17" ht="17.25" customHeight="1" x14ac:dyDescent="0.3">
      <c r="B25" s="13" t="s">
        <v>83</v>
      </c>
      <c r="C25" s="124" t="s">
        <v>147</v>
      </c>
      <c r="D25" s="111">
        <v>1.4999999999999999E-2</v>
      </c>
      <c r="E25" s="56"/>
      <c r="F25" s="60">
        <f>M37*D25</f>
        <v>93.149999999999991</v>
      </c>
      <c r="G25" s="60">
        <f t="shared" si="9"/>
        <v>9.3149999999999995</v>
      </c>
      <c r="H25" s="57">
        <f t="shared" si="10"/>
        <v>0.15525</v>
      </c>
      <c r="J25" s="99" t="s">
        <v>75</v>
      </c>
      <c r="K25" s="99">
        <v>1</v>
      </c>
      <c r="L25" s="100">
        <v>100</v>
      </c>
      <c r="M25" s="60">
        <f t="shared" ref="M25:M29" si="11">K25*L25</f>
        <v>100</v>
      </c>
      <c r="N25" s="99">
        <v>5</v>
      </c>
      <c r="O25" s="102">
        <v>0.1</v>
      </c>
      <c r="P25" s="56">
        <f>IF(M25&gt;0,(M25-(M25*O25))/N25,"")</f>
        <v>18</v>
      </c>
      <c r="Q25" s="56">
        <f t="shared" ref="Q25:Q31" si="12">((M25+M25*O25)/2)*$D$31</f>
        <v>4.6750000000000007</v>
      </c>
    </row>
    <row r="26" spans="2:17" ht="17.25" customHeight="1" x14ac:dyDescent="0.3">
      <c r="B26" s="13" t="s">
        <v>42</v>
      </c>
      <c r="C26" s="15" t="s">
        <v>40</v>
      </c>
      <c r="D26" s="28"/>
      <c r="E26" s="56"/>
      <c r="F26" s="106">
        <v>50</v>
      </c>
      <c r="G26" s="60">
        <f t="shared" si="9"/>
        <v>5</v>
      </c>
      <c r="H26" s="57">
        <f t="shared" si="10"/>
        <v>8.3333333333333329E-2</v>
      </c>
      <c r="J26" s="99" t="s">
        <v>77</v>
      </c>
      <c r="K26" s="99">
        <v>1</v>
      </c>
      <c r="L26" s="100">
        <v>12</v>
      </c>
      <c r="M26" s="60">
        <f t="shared" si="11"/>
        <v>12</v>
      </c>
      <c r="N26" s="99">
        <v>5</v>
      </c>
      <c r="O26" s="102">
        <v>0.1</v>
      </c>
      <c r="P26" s="56">
        <f t="shared" ref="P26:P29" si="13">IF(M26&gt;0,(M26-(M26*O26))/N26,"")</f>
        <v>2.16</v>
      </c>
      <c r="Q26" s="56">
        <f t="shared" si="12"/>
        <v>0.56100000000000005</v>
      </c>
    </row>
    <row r="27" spans="2:17" ht="17.25" customHeight="1" x14ac:dyDescent="0.3">
      <c r="B27" s="13" t="s">
        <v>152</v>
      </c>
      <c r="C27" s="15" t="s">
        <v>47</v>
      </c>
      <c r="D27" s="112">
        <v>8.5000000000000006E-2</v>
      </c>
      <c r="E27" s="56"/>
      <c r="F27" s="65">
        <f>SUM(F14:F26)/2*D27</f>
        <v>378.49862500000006</v>
      </c>
      <c r="G27" s="65">
        <f t="shared" si="9"/>
        <v>37.849862500000008</v>
      </c>
      <c r="H27" s="64">
        <f t="shared" si="10"/>
        <v>0.63083104166666681</v>
      </c>
      <c r="J27" s="99" t="s">
        <v>136</v>
      </c>
      <c r="K27" s="99">
        <v>1</v>
      </c>
      <c r="L27" s="100">
        <v>850</v>
      </c>
      <c r="M27" s="60">
        <f t="shared" si="11"/>
        <v>850</v>
      </c>
      <c r="N27" s="99">
        <v>5</v>
      </c>
      <c r="O27" s="102">
        <v>0.1</v>
      </c>
      <c r="P27" s="56">
        <f t="shared" si="13"/>
        <v>153</v>
      </c>
      <c r="Q27" s="56">
        <f t="shared" si="12"/>
        <v>39.737500000000004</v>
      </c>
    </row>
    <row r="28" spans="2:17" ht="17.25" customHeight="1" x14ac:dyDescent="0.3">
      <c r="B28" s="13"/>
      <c r="E28" s="58" t="s">
        <v>88</v>
      </c>
      <c r="F28" s="61">
        <f>SUM(F14:F27)</f>
        <v>9284.3486250000005</v>
      </c>
      <c r="G28" s="61">
        <f>SUM(G14:G27)</f>
        <v>928.43486250000012</v>
      </c>
      <c r="H28" s="59">
        <f>SUM(H14:H27)</f>
        <v>15.473914375000003</v>
      </c>
      <c r="J28" s="99" t="s">
        <v>137</v>
      </c>
      <c r="K28" s="99">
        <v>1</v>
      </c>
      <c r="L28" s="100">
        <v>40</v>
      </c>
      <c r="M28" s="60">
        <f t="shared" si="11"/>
        <v>40</v>
      </c>
      <c r="N28" s="99">
        <v>5</v>
      </c>
      <c r="O28" s="102">
        <v>0.1</v>
      </c>
      <c r="P28" s="56">
        <f t="shared" si="13"/>
        <v>7.2</v>
      </c>
      <c r="Q28" s="56">
        <f t="shared" si="12"/>
        <v>1.87</v>
      </c>
    </row>
    <row r="29" spans="2:17" ht="17.25" customHeight="1" x14ac:dyDescent="0.3">
      <c r="B29" s="13"/>
      <c r="F29" s="27"/>
      <c r="G29" s="27"/>
      <c r="H29" s="16"/>
      <c r="J29" s="99" t="s">
        <v>84</v>
      </c>
      <c r="K29" s="99">
        <v>2</v>
      </c>
      <c r="L29" s="100">
        <v>40</v>
      </c>
      <c r="M29" s="60">
        <f t="shared" si="11"/>
        <v>80</v>
      </c>
      <c r="N29" s="99">
        <v>10</v>
      </c>
      <c r="O29" s="102">
        <v>0.1</v>
      </c>
      <c r="P29" s="56">
        <f t="shared" si="13"/>
        <v>7.2</v>
      </c>
      <c r="Q29" s="56">
        <f t="shared" si="12"/>
        <v>3.74</v>
      </c>
    </row>
    <row r="30" spans="2:17" ht="17.25" customHeight="1" x14ac:dyDescent="0.3">
      <c r="B30" s="38" t="s">
        <v>45</v>
      </c>
      <c r="C30" s="35"/>
      <c r="D30" s="40"/>
      <c r="E30" s="35"/>
      <c r="F30" s="41" t="s">
        <v>11</v>
      </c>
      <c r="G30" s="37" t="s">
        <v>23</v>
      </c>
      <c r="H30" s="39" t="s">
        <v>57</v>
      </c>
      <c r="J30" s="99" t="s">
        <v>129</v>
      </c>
      <c r="K30" s="99">
        <v>1</v>
      </c>
      <c r="L30" s="100">
        <v>200</v>
      </c>
      <c r="M30" s="60">
        <f>K30*L30</f>
        <v>200</v>
      </c>
      <c r="N30" s="99">
        <v>10</v>
      </c>
      <c r="O30" s="102">
        <v>0.1</v>
      </c>
      <c r="P30" s="56">
        <f>IF(M30&gt;0,(M30-(M30*O30))/N30,"")</f>
        <v>18</v>
      </c>
      <c r="Q30" s="56">
        <f t="shared" si="12"/>
        <v>9.3500000000000014</v>
      </c>
    </row>
    <row r="31" spans="2:17" ht="17.25" customHeight="1" x14ac:dyDescent="0.3">
      <c r="B31" s="13" t="s">
        <v>46</v>
      </c>
      <c r="C31" s="15" t="s">
        <v>47</v>
      </c>
      <c r="D31" s="111">
        <v>8.5000000000000006E-2</v>
      </c>
      <c r="E31" s="3"/>
      <c r="F31" s="60">
        <f>'10 hives'!P37+'10 hives'!Q37</f>
        <v>959.47433333333333</v>
      </c>
      <c r="G31" s="60">
        <f>F31/$C$3</f>
        <v>95.947433333333336</v>
      </c>
      <c r="H31" s="57">
        <f>F31/$D$7</f>
        <v>1.5991238888888888</v>
      </c>
      <c r="J31" s="99" t="s">
        <v>87</v>
      </c>
      <c r="K31" s="99">
        <v>1</v>
      </c>
      <c r="L31" s="100">
        <v>50</v>
      </c>
      <c r="M31" s="60">
        <f>K31*L31</f>
        <v>50</v>
      </c>
      <c r="N31" s="99">
        <v>5</v>
      </c>
      <c r="O31" s="102">
        <v>0.1</v>
      </c>
      <c r="P31" s="56">
        <f>IF(M31&gt;0,(M31-(M31*O31))/N31,"")</f>
        <v>9</v>
      </c>
      <c r="Q31" s="56">
        <f t="shared" si="12"/>
        <v>2.3375000000000004</v>
      </c>
    </row>
    <row r="32" spans="2:17" ht="17.25" customHeight="1" x14ac:dyDescent="0.3">
      <c r="B32" s="13" t="s">
        <v>48</v>
      </c>
      <c r="E32" s="3"/>
      <c r="F32" s="113">
        <v>200</v>
      </c>
      <c r="G32" s="65">
        <f>F32/$C$3</f>
        <v>20</v>
      </c>
      <c r="H32" s="64">
        <f>F32/$D$7</f>
        <v>0.33333333333333331</v>
      </c>
      <c r="L32" s="24"/>
      <c r="M32" s="61"/>
      <c r="N32" s="2"/>
      <c r="O32" s="2"/>
      <c r="P32" s="82"/>
      <c r="Q32" s="82"/>
    </row>
    <row r="33" spans="2:17" ht="17.25" customHeight="1" x14ac:dyDescent="0.3">
      <c r="B33" s="13"/>
      <c r="E33" s="24" t="s">
        <v>49</v>
      </c>
      <c r="F33" s="61">
        <f>SUM(F31:F32)</f>
        <v>1159.4743333333333</v>
      </c>
      <c r="G33" s="61">
        <f>SUM(G31:G32)</f>
        <v>115.94743333333334</v>
      </c>
      <c r="H33" s="59">
        <f>SUM(H31:H32)</f>
        <v>1.932457222222222</v>
      </c>
      <c r="J33" s="125" t="s">
        <v>145</v>
      </c>
      <c r="M33" s="60"/>
    </row>
    <row r="34" spans="2:17" ht="17.25" customHeight="1" x14ac:dyDescent="0.3">
      <c r="B34" s="13"/>
      <c r="E34" s="24"/>
      <c r="F34" s="61"/>
      <c r="G34" s="61"/>
      <c r="H34" s="59"/>
      <c r="J34" s="99" t="s">
        <v>142</v>
      </c>
      <c r="K34" s="99">
        <v>2</v>
      </c>
      <c r="L34" s="128">
        <v>10</v>
      </c>
      <c r="M34" s="60">
        <f>K34*L34</f>
        <v>20</v>
      </c>
      <c r="N34" s="99">
        <v>10</v>
      </c>
      <c r="O34" s="129">
        <v>0.1</v>
      </c>
      <c r="P34" s="56">
        <f>IF(M34&gt;0,(M34-(M34*O34))/N34,"")</f>
        <v>1.8</v>
      </c>
      <c r="Q34" s="56">
        <f>((M34+M34*O34)/2)*$D$31</f>
        <v>0.93500000000000005</v>
      </c>
    </row>
    <row r="35" spans="2:17" ht="17.25" customHeight="1" x14ac:dyDescent="0.3">
      <c r="B35" s="13"/>
      <c r="E35" s="24" t="s">
        <v>112</v>
      </c>
      <c r="F35" s="61">
        <f>F28+F33</f>
        <v>10443.822958333334</v>
      </c>
      <c r="G35" s="61">
        <f>G28+G33</f>
        <v>1044.3822958333335</v>
      </c>
      <c r="H35" s="59">
        <f>H28+H33</f>
        <v>17.406371597222225</v>
      </c>
      <c r="J35" s="99" t="s">
        <v>143</v>
      </c>
      <c r="K35" s="99">
        <v>1</v>
      </c>
      <c r="L35" s="128">
        <v>20</v>
      </c>
      <c r="M35" s="60">
        <f>K35*L35</f>
        <v>20</v>
      </c>
      <c r="N35" s="99">
        <v>10</v>
      </c>
      <c r="O35" s="129">
        <v>0.1</v>
      </c>
      <c r="P35" s="56">
        <f>IF(M35&gt;0,(M35-(M35*O35))/N35,"")</f>
        <v>1.8</v>
      </c>
      <c r="Q35" s="56">
        <f>((M35+M35*O35)/2)*$D$31</f>
        <v>0.93500000000000005</v>
      </c>
    </row>
    <row r="36" spans="2:17" ht="17.25" customHeight="1" x14ac:dyDescent="0.3">
      <c r="B36" s="42"/>
      <c r="C36" s="43"/>
      <c r="D36" s="43"/>
      <c r="E36" s="43"/>
      <c r="F36" s="43"/>
      <c r="G36" s="43"/>
      <c r="H36" s="127"/>
      <c r="J36" s="99" t="s">
        <v>144</v>
      </c>
      <c r="K36" s="99">
        <v>2</v>
      </c>
      <c r="L36" s="128">
        <v>50</v>
      </c>
      <c r="M36" s="65">
        <f>K36*L36</f>
        <v>100</v>
      </c>
      <c r="N36" s="103">
        <v>10</v>
      </c>
      <c r="O36" s="130">
        <v>0.1</v>
      </c>
      <c r="P36" s="63">
        <f>IF(M36&gt;0,(M36-(M36*O36))/N36,"")</f>
        <v>9</v>
      </c>
      <c r="Q36" s="63">
        <f>((M36+M36*O36)/2)*$D$31</f>
        <v>4.6750000000000007</v>
      </c>
    </row>
    <row r="37" spans="2:17" ht="17.25" customHeight="1" x14ac:dyDescent="0.3">
      <c r="B37" s="13"/>
      <c r="E37" s="24" t="s">
        <v>113</v>
      </c>
      <c r="F37" s="61">
        <f>F11-F28</f>
        <v>-2768.3486250000005</v>
      </c>
      <c r="G37" s="61">
        <f>G11-G28</f>
        <v>-276.8348625000001</v>
      </c>
      <c r="H37" s="59">
        <f>H11-H28</f>
        <v>-4.6139143750000038</v>
      </c>
      <c r="L37" s="24" t="s">
        <v>11</v>
      </c>
      <c r="M37" s="61">
        <f>SUM(M7:M22,M25:M31,M34:M36)</f>
        <v>6210</v>
      </c>
      <c r="N37" s="2"/>
      <c r="O37" s="2"/>
      <c r="P37" s="82">
        <f>SUM(P7:P36)</f>
        <v>689.29333333333329</v>
      </c>
      <c r="Q37" s="82">
        <f>SUM(Q7:Q36)</f>
        <v>270.18100000000004</v>
      </c>
    </row>
    <row r="38" spans="2:17" ht="17.25" customHeight="1" x14ac:dyDescent="0.3">
      <c r="B38" s="13"/>
      <c r="E38" s="24" t="s">
        <v>116</v>
      </c>
      <c r="F38" s="61">
        <f>F37+F15+F16</f>
        <v>3231.6513749999995</v>
      </c>
      <c r="G38" s="61">
        <f>G37+G15+G16</f>
        <v>323.1651374999999</v>
      </c>
      <c r="H38" s="59">
        <f>H37+H15+H16</f>
        <v>5.3860856249999962</v>
      </c>
    </row>
    <row r="39" spans="2:17" ht="17.25" customHeight="1" x14ac:dyDescent="0.3">
      <c r="B39" s="13"/>
      <c r="E39" s="24" t="s">
        <v>114</v>
      </c>
      <c r="F39" s="61">
        <f>F11-F28-F33</f>
        <v>-3927.8229583333341</v>
      </c>
      <c r="G39" s="61">
        <f>G11-G28-G33</f>
        <v>-392.78229583333342</v>
      </c>
      <c r="H39" s="59">
        <f>H11-H28-H33</f>
        <v>-6.5463715972222261</v>
      </c>
    </row>
    <row r="40" spans="2:17" ht="17.25" customHeight="1" thickBot="1" x14ac:dyDescent="0.35">
      <c r="B40" s="30"/>
      <c r="C40" s="4"/>
      <c r="D40" s="4"/>
      <c r="E40" s="5" t="s">
        <v>115</v>
      </c>
      <c r="F40" s="67">
        <f>F39+F15+F16</f>
        <v>2072.1770416666659</v>
      </c>
      <c r="G40" s="67">
        <f>G39+G15+G16</f>
        <v>207.21770416666658</v>
      </c>
      <c r="H40" s="68">
        <f>H39+H15+H16</f>
        <v>3.4536284027777739</v>
      </c>
    </row>
    <row r="41" spans="2:17" ht="17.25" customHeight="1" x14ac:dyDescent="0.3"/>
    <row r="42" spans="2:17" ht="17.25" hidden="1" customHeight="1" x14ac:dyDescent="0.3">
      <c r="B42" s="15"/>
    </row>
    <row r="43" spans="2:17" ht="17.25" hidden="1" customHeight="1" x14ac:dyDescent="0.3">
      <c r="E43" s="3"/>
    </row>
    <row r="44" spans="2:17" ht="17.25" hidden="1" customHeight="1" x14ac:dyDescent="0.3">
      <c r="D44" s="3"/>
    </row>
    <row r="47" spans="2:17" hidden="1" x14ac:dyDescent="0.3">
      <c r="L47" s="3"/>
    </row>
    <row r="49" s="1" customFormat="1" hidden="1" x14ac:dyDescent="0.3"/>
    <row r="50" s="1" customFormat="1" hidden="1" x14ac:dyDescent="0.3"/>
    <row r="51" s="1" customFormat="1" hidden="1" x14ac:dyDescent="0.3"/>
    <row r="52" s="1" customFormat="1" hidden="1" x14ac:dyDescent="0.3"/>
    <row r="53" s="1" customFormat="1" hidden="1" x14ac:dyDescent="0.3"/>
    <row r="54" s="1" customFormat="1" hidden="1" x14ac:dyDescent="0.3"/>
    <row r="55" s="1" customFormat="1" hidden="1" x14ac:dyDescent="0.3"/>
    <row r="56" s="1" customFormat="1" hidden="1" x14ac:dyDescent="0.3"/>
    <row r="57" s="1" customFormat="1" hidden="1" x14ac:dyDescent="0.3"/>
    <row r="58" s="1" customFormat="1" hidden="1" x14ac:dyDescent="0.3"/>
    <row r="59" s="1" customFormat="1" hidden="1" x14ac:dyDescent="0.3"/>
    <row r="60" s="1" customFormat="1" hidden="1" x14ac:dyDescent="0.3"/>
    <row r="61" s="1" customFormat="1" hidden="1" x14ac:dyDescent="0.3"/>
    <row r="62" s="1" customFormat="1" hidden="1" x14ac:dyDescent="0.3"/>
    <row r="63" s="1" customFormat="1" hidden="1" x14ac:dyDescent="0.3"/>
    <row r="64" s="1" customFormat="1" hidden="1" x14ac:dyDescent="0.3"/>
    <row r="65" s="1" customFormat="1" hidden="1" x14ac:dyDescent="0.3"/>
    <row r="66" s="1" customFormat="1" hidden="1" x14ac:dyDescent="0.3"/>
    <row r="67" s="1" customFormat="1" hidden="1" x14ac:dyDescent="0.3"/>
    <row r="68" s="1" customFormat="1" hidden="1" x14ac:dyDescent="0.3"/>
    <row r="69" s="1" customFormat="1" hidden="1" x14ac:dyDescent="0.3"/>
    <row r="70" s="1" customFormat="1" hidden="1" x14ac:dyDescent="0.3"/>
    <row r="71" s="1" customFormat="1" hidden="1" x14ac:dyDescent="0.3"/>
    <row r="72" s="1" customFormat="1" hidden="1" x14ac:dyDescent="0.3"/>
    <row r="73" s="1" customFormat="1" hidden="1" x14ac:dyDescent="0.3"/>
    <row r="74" s="1" customFormat="1" hidden="1" x14ac:dyDescent="0.3"/>
    <row r="75" s="1" customFormat="1" hidden="1" x14ac:dyDescent="0.3"/>
    <row r="76" s="1" customFormat="1" hidden="1" x14ac:dyDescent="0.3"/>
    <row r="77" s="1" customFormat="1" hidden="1" x14ac:dyDescent="0.3"/>
    <row r="78" s="1" customFormat="1" hidden="1" x14ac:dyDescent="0.3"/>
    <row r="79" s="1" customFormat="1" hidden="1" x14ac:dyDescent="0.3"/>
    <row r="80" s="1" customFormat="1" hidden="1" x14ac:dyDescent="0.3"/>
    <row r="81" s="1" customFormat="1" hidden="1" x14ac:dyDescent="0.3"/>
    <row r="82" s="1" customFormat="1" hidden="1" x14ac:dyDescent="0.3"/>
    <row r="83" s="1" customFormat="1" hidden="1" x14ac:dyDescent="0.3"/>
    <row r="84" s="1" customFormat="1" hidden="1" x14ac:dyDescent="0.3"/>
    <row r="85" s="1" customFormat="1" hidden="1" x14ac:dyDescent="0.3"/>
    <row r="86" s="1" customFormat="1" hidden="1" x14ac:dyDescent="0.3"/>
    <row r="87" s="1" customFormat="1" hidden="1" x14ac:dyDescent="0.3"/>
    <row r="88" s="1" customFormat="1" hidden="1" x14ac:dyDescent="0.3"/>
    <row r="89" s="1" customFormat="1" hidden="1" x14ac:dyDescent="0.3"/>
  </sheetData>
  <sheetProtection sheet="1" objects="1" scenarios="1"/>
  <mergeCells count="1">
    <mergeCell ref="B1:H1"/>
  </mergeCells>
  <phoneticPr fontId="7"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EF5C07-2845-4525-88D8-2A84BAF41629}">
  <dimension ref="A1:Q59"/>
  <sheetViews>
    <sheetView zoomScaleNormal="100" workbookViewId="0">
      <selection activeCell="H7" sqref="H7"/>
    </sheetView>
  </sheetViews>
  <sheetFormatPr defaultColWidth="0" defaultRowHeight="16.5" zeroHeight="1" x14ac:dyDescent="0.3"/>
  <cols>
    <col min="1" max="1" width="3.25" style="1" customWidth="1"/>
    <col min="2" max="2" width="42.75" style="1" customWidth="1"/>
    <col min="3" max="4" width="10.375" style="1" customWidth="1"/>
    <col min="5" max="5" width="10.625" style="1" customWidth="1"/>
    <col min="6" max="7" width="11.375" style="1" customWidth="1"/>
    <col min="8" max="8" width="9" style="1" customWidth="1"/>
    <col min="9" max="9" width="5.625" style="1" customWidth="1"/>
    <col min="10" max="10" width="33" style="1" customWidth="1"/>
    <col min="11" max="12" width="9" style="1" customWidth="1"/>
    <col min="13" max="13" width="11.375" style="1" customWidth="1"/>
    <col min="14" max="15" width="9" style="1" customWidth="1"/>
    <col min="16" max="16" width="13" style="1" customWidth="1"/>
    <col min="17" max="17" width="9" style="1" customWidth="1"/>
    <col min="18" max="16384" width="9" style="1" hidden="1"/>
  </cols>
  <sheetData>
    <row r="1" spans="2:17" ht="20.25" x14ac:dyDescent="0.35">
      <c r="B1" s="154" t="s">
        <v>133</v>
      </c>
      <c r="C1" s="155"/>
      <c r="D1" s="155"/>
      <c r="E1" s="155"/>
      <c r="F1" s="155"/>
      <c r="G1" s="155"/>
      <c r="H1" s="156"/>
    </row>
    <row r="2" spans="2:17" ht="17.25" customHeight="1" x14ac:dyDescent="0.35">
      <c r="B2" s="10"/>
      <c r="C2" s="11"/>
      <c r="D2" s="11"/>
      <c r="E2" s="11"/>
      <c r="F2" s="11"/>
      <c r="G2" s="11"/>
      <c r="H2" s="12"/>
      <c r="J2" s="51" t="s">
        <v>5</v>
      </c>
      <c r="K2" s="51"/>
      <c r="L2" s="51"/>
      <c r="M2" s="51"/>
      <c r="N2" s="51"/>
      <c r="O2" s="51"/>
      <c r="P2" s="51"/>
      <c r="Q2" s="43"/>
    </row>
    <row r="3" spans="2:17" ht="17.25" customHeight="1" x14ac:dyDescent="0.3">
      <c r="B3" s="13" t="s">
        <v>6</v>
      </c>
      <c r="C3" s="99">
        <v>20</v>
      </c>
      <c r="D3" s="15" t="s">
        <v>7</v>
      </c>
      <c r="H3" s="16"/>
      <c r="J3" s="47" t="s">
        <v>8</v>
      </c>
      <c r="K3" s="47" t="s">
        <v>9</v>
      </c>
      <c r="L3" s="52" t="s">
        <v>10</v>
      </c>
      <c r="M3" s="31" t="s">
        <v>11</v>
      </c>
      <c r="N3" s="31" t="s">
        <v>12</v>
      </c>
      <c r="O3" s="31" t="s">
        <v>13</v>
      </c>
      <c r="P3" s="31" t="s">
        <v>14</v>
      </c>
      <c r="Q3" s="31" t="s">
        <v>15</v>
      </c>
    </row>
    <row r="4" spans="2:17" ht="17.25" customHeight="1" x14ac:dyDescent="0.3">
      <c r="B4" s="13" t="s">
        <v>51</v>
      </c>
      <c r="C4" s="99">
        <v>60</v>
      </c>
      <c r="D4" s="15" t="s">
        <v>52</v>
      </c>
      <c r="H4" s="16"/>
      <c r="J4" s="44"/>
      <c r="K4" s="44"/>
      <c r="L4" s="53" t="s">
        <v>53</v>
      </c>
      <c r="M4" s="45" t="s">
        <v>54</v>
      </c>
      <c r="N4" s="46"/>
      <c r="O4" s="45" t="s">
        <v>55</v>
      </c>
      <c r="P4" s="45"/>
      <c r="Q4" s="45"/>
    </row>
    <row r="5" spans="2:17" ht="17.25" customHeight="1" x14ac:dyDescent="0.3">
      <c r="B5" s="34"/>
      <c r="C5" s="2"/>
      <c r="H5" s="16"/>
      <c r="J5" s="48"/>
      <c r="K5" s="32" t="s">
        <v>16</v>
      </c>
      <c r="L5" s="32" t="s">
        <v>17</v>
      </c>
      <c r="M5" s="32" t="s">
        <v>17</v>
      </c>
      <c r="N5" s="32" t="s">
        <v>18</v>
      </c>
      <c r="O5" s="32" t="s">
        <v>19</v>
      </c>
      <c r="P5" s="32" t="s">
        <v>17</v>
      </c>
      <c r="Q5" s="32" t="s">
        <v>17</v>
      </c>
    </row>
    <row r="6" spans="2:17" ht="17.25" customHeight="1" x14ac:dyDescent="0.3">
      <c r="B6" s="38" t="s">
        <v>56</v>
      </c>
      <c r="C6" s="36" t="s">
        <v>149</v>
      </c>
      <c r="D6" s="37" t="s">
        <v>9</v>
      </c>
      <c r="E6" s="37" t="s">
        <v>22</v>
      </c>
      <c r="F6" s="37" t="s">
        <v>11</v>
      </c>
      <c r="G6" s="37" t="s">
        <v>23</v>
      </c>
      <c r="H6" s="39" t="s">
        <v>57</v>
      </c>
      <c r="J6" s="70" t="s">
        <v>24</v>
      </c>
      <c r="K6" s="32"/>
      <c r="L6" s="32"/>
      <c r="M6" s="32"/>
      <c r="N6" s="32"/>
      <c r="O6" s="32"/>
      <c r="P6" s="32"/>
      <c r="Q6" s="32"/>
    </row>
    <row r="7" spans="2:17" ht="17.25" customHeight="1" x14ac:dyDescent="0.3">
      <c r="B7" s="13" t="s">
        <v>58</v>
      </c>
      <c r="C7" s="17" t="s">
        <v>72</v>
      </c>
      <c r="D7" s="18">
        <f>C3*C4</f>
        <v>1200</v>
      </c>
      <c r="E7" s="100">
        <v>10.61</v>
      </c>
      <c r="F7" s="60">
        <f>D7*E7</f>
        <v>12732</v>
      </c>
      <c r="G7" s="60">
        <f>F7/$C$3</f>
        <v>636.6</v>
      </c>
      <c r="H7" s="57">
        <f>F7/$D$7</f>
        <v>10.61</v>
      </c>
      <c r="J7" s="99" t="s">
        <v>120</v>
      </c>
      <c r="K7" s="99">
        <v>7</v>
      </c>
      <c r="L7" s="100">
        <v>90</v>
      </c>
      <c r="M7" s="60">
        <f t="shared" ref="M7:M13" si="0">K7*L7</f>
        <v>630</v>
      </c>
      <c r="N7" s="99">
        <v>10</v>
      </c>
      <c r="O7" s="102">
        <v>0</v>
      </c>
      <c r="P7" s="56">
        <f t="shared" ref="P7:P13" si="1">IF(M7&gt;0,(M7-(M7*O7))/N7,"")</f>
        <v>63</v>
      </c>
      <c r="Q7" s="56">
        <f t="shared" ref="Q7:Q22" si="2">((M7+M7*O7)/2)*$D$31</f>
        <v>26.775000000000002</v>
      </c>
    </row>
    <row r="8" spans="2:17" ht="17.25" customHeight="1" x14ac:dyDescent="0.3">
      <c r="B8" s="107" t="s">
        <v>141</v>
      </c>
      <c r="C8" s="108" t="s">
        <v>72</v>
      </c>
      <c r="D8" s="105">
        <v>20</v>
      </c>
      <c r="E8" s="100">
        <v>15</v>
      </c>
      <c r="F8" s="60">
        <f>D8*E8</f>
        <v>300</v>
      </c>
      <c r="G8" s="60">
        <f>F8/$C$3</f>
        <v>15</v>
      </c>
      <c r="H8" s="57">
        <f>F8/$D$7</f>
        <v>0.25</v>
      </c>
      <c r="J8" s="99" t="s">
        <v>59</v>
      </c>
      <c r="K8" s="99">
        <v>40</v>
      </c>
      <c r="L8" s="100">
        <v>70</v>
      </c>
      <c r="M8" s="60">
        <f t="shared" si="0"/>
        <v>2800</v>
      </c>
      <c r="N8" s="99">
        <v>10</v>
      </c>
      <c r="O8" s="102">
        <v>0</v>
      </c>
      <c r="P8" s="56">
        <f t="shared" si="1"/>
        <v>280</v>
      </c>
      <c r="Q8" s="56">
        <f t="shared" si="2"/>
        <v>119.00000000000001</v>
      </c>
    </row>
    <row r="9" spans="2:17" ht="17.25" customHeight="1" x14ac:dyDescent="0.3">
      <c r="B9" s="107" t="s">
        <v>63</v>
      </c>
      <c r="C9" s="108"/>
      <c r="D9" s="105">
        <v>0</v>
      </c>
      <c r="E9" s="100">
        <v>0</v>
      </c>
      <c r="F9" s="60">
        <f>D9*E9</f>
        <v>0</v>
      </c>
      <c r="G9" s="60">
        <f>F9/$C$3</f>
        <v>0</v>
      </c>
      <c r="H9" s="57">
        <f>F9/$D$7</f>
        <v>0</v>
      </c>
      <c r="J9" s="99" t="s">
        <v>62</v>
      </c>
      <c r="K9" s="99">
        <v>20</v>
      </c>
      <c r="L9" s="100">
        <v>65</v>
      </c>
      <c r="M9" s="60">
        <f t="shared" si="0"/>
        <v>1300</v>
      </c>
      <c r="N9" s="99">
        <v>10</v>
      </c>
      <c r="O9" s="102">
        <v>0</v>
      </c>
      <c r="P9" s="56">
        <f t="shared" si="1"/>
        <v>130</v>
      </c>
      <c r="Q9" s="56">
        <f t="shared" si="2"/>
        <v>55.250000000000007</v>
      </c>
    </row>
    <row r="10" spans="2:17" ht="17.25" customHeight="1" x14ac:dyDescent="0.3">
      <c r="B10" s="107" t="s">
        <v>65</v>
      </c>
      <c r="C10" s="108"/>
      <c r="D10" s="105">
        <v>0</v>
      </c>
      <c r="E10" s="100">
        <v>0</v>
      </c>
      <c r="F10" s="65">
        <f>D10*E10</f>
        <v>0</v>
      </c>
      <c r="G10" s="65">
        <f>F10/$C$3</f>
        <v>0</v>
      </c>
      <c r="H10" s="64">
        <f>F10/$D$7</f>
        <v>0</v>
      </c>
      <c r="J10" s="99" t="s">
        <v>64</v>
      </c>
      <c r="K10" s="99">
        <v>20</v>
      </c>
      <c r="L10" s="100">
        <v>40</v>
      </c>
      <c r="M10" s="60">
        <f t="shared" si="0"/>
        <v>800</v>
      </c>
      <c r="N10" s="99">
        <v>10</v>
      </c>
      <c r="O10" s="102">
        <v>0</v>
      </c>
      <c r="P10" s="56">
        <f t="shared" si="1"/>
        <v>80</v>
      </c>
      <c r="Q10" s="56">
        <f t="shared" si="2"/>
        <v>34</v>
      </c>
    </row>
    <row r="11" spans="2:17" ht="17.25" customHeight="1" x14ac:dyDescent="0.3">
      <c r="B11" s="22"/>
      <c r="E11" s="22" t="s">
        <v>117</v>
      </c>
      <c r="F11" s="61">
        <f>SUM(F7:F10)</f>
        <v>13032</v>
      </c>
      <c r="G11" s="61">
        <f>SUM(G7:G10)</f>
        <v>651.6</v>
      </c>
      <c r="H11" s="59">
        <f>F11/$D$7</f>
        <v>10.86</v>
      </c>
      <c r="J11" s="99" t="s">
        <v>122</v>
      </c>
      <c r="K11" s="99">
        <v>20</v>
      </c>
      <c r="L11" s="100">
        <v>45</v>
      </c>
      <c r="M11" s="60">
        <f t="shared" si="0"/>
        <v>900</v>
      </c>
      <c r="N11" s="99">
        <v>10</v>
      </c>
      <c r="O11" s="102">
        <v>0</v>
      </c>
      <c r="P11" s="56">
        <f t="shared" si="1"/>
        <v>90</v>
      </c>
      <c r="Q11" s="56">
        <f t="shared" si="2"/>
        <v>38.25</v>
      </c>
    </row>
    <row r="12" spans="2:17" ht="17.25" customHeight="1" x14ac:dyDescent="0.3">
      <c r="B12" s="13"/>
      <c r="H12" s="16"/>
      <c r="J12" s="99" t="s">
        <v>124</v>
      </c>
      <c r="K12" s="99">
        <v>10</v>
      </c>
      <c r="L12" s="100">
        <v>35</v>
      </c>
      <c r="M12" s="60">
        <f t="shared" si="0"/>
        <v>350</v>
      </c>
      <c r="N12" s="99">
        <v>10</v>
      </c>
      <c r="O12" s="102">
        <v>0</v>
      </c>
      <c r="P12" s="56">
        <f t="shared" si="1"/>
        <v>35</v>
      </c>
      <c r="Q12" s="56">
        <f t="shared" si="2"/>
        <v>14.875000000000002</v>
      </c>
    </row>
    <row r="13" spans="2:17" ht="17.25" customHeight="1" x14ac:dyDescent="0.3">
      <c r="B13" s="38" t="s">
        <v>20</v>
      </c>
      <c r="C13" s="36" t="s">
        <v>149</v>
      </c>
      <c r="D13" s="37" t="s">
        <v>9</v>
      </c>
      <c r="E13" s="37" t="s">
        <v>22</v>
      </c>
      <c r="F13" s="37" t="s">
        <v>11</v>
      </c>
      <c r="G13" s="37" t="s">
        <v>23</v>
      </c>
      <c r="H13" s="39" t="s">
        <v>57</v>
      </c>
      <c r="J13" s="99" t="s">
        <v>125</v>
      </c>
      <c r="K13" s="99">
        <v>1</v>
      </c>
      <c r="L13" s="100">
        <v>150</v>
      </c>
      <c r="M13" s="60">
        <f t="shared" si="0"/>
        <v>150</v>
      </c>
      <c r="N13" s="99">
        <v>10</v>
      </c>
      <c r="O13" s="102">
        <v>0</v>
      </c>
      <c r="P13" s="56">
        <f t="shared" si="1"/>
        <v>15</v>
      </c>
      <c r="Q13" s="56">
        <f t="shared" si="2"/>
        <v>6.3750000000000009</v>
      </c>
    </row>
    <row r="14" spans="2:17" ht="17.25" customHeight="1" x14ac:dyDescent="0.3">
      <c r="B14" s="13" t="s">
        <v>139</v>
      </c>
      <c r="C14" s="15" t="s">
        <v>68</v>
      </c>
      <c r="D14" s="109">
        <v>6</v>
      </c>
      <c r="E14" s="100">
        <v>165</v>
      </c>
      <c r="F14" s="60">
        <f t="shared" ref="F14:F16" si="3">D14*E14</f>
        <v>990</v>
      </c>
      <c r="G14" s="60">
        <f t="shared" ref="G14:G16" si="4">F14/$C$3</f>
        <v>49.5</v>
      </c>
      <c r="H14" s="57">
        <f t="shared" ref="H14:H16" si="5">F14/$D$7</f>
        <v>0.82499999999999996</v>
      </c>
      <c r="J14" s="99" t="s">
        <v>32</v>
      </c>
      <c r="K14" s="99">
        <v>6</v>
      </c>
      <c r="L14" s="100">
        <v>35</v>
      </c>
      <c r="M14" s="60">
        <f t="shared" ref="M14:M22" si="6">K14*L14</f>
        <v>210</v>
      </c>
      <c r="N14" s="99">
        <v>10</v>
      </c>
      <c r="O14" s="102">
        <v>0</v>
      </c>
      <c r="P14" s="56">
        <f t="shared" ref="P14:P22" si="7">IF(M14&gt;0,(M14-(M14*O14))/N14,"")</f>
        <v>21</v>
      </c>
      <c r="Q14" s="56">
        <f t="shared" si="2"/>
        <v>8.9250000000000007</v>
      </c>
    </row>
    <row r="15" spans="2:17" ht="17.25" customHeight="1" x14ac:dyDescent="0.3">
      <c r="B15" s="13" t="s">
        <v>36</v>
      </c>
      <c r="C15" s="15" t="s">
        <v>69</v>
      </c>
      <c r="D15" s="99">
        <v>330</v>
      </c>
      <c r="E15" s="100">
        <v>20</v>
      </c>
      <c r="F15" s="60">
        <f t="shared" si="3"/>
        <v>6600</v>
      </c>
      <c r="G15" s="60">
        <f t="shared" si="4"/>
        <v>330</v>
      </c>
      <c r="H15" s="57">
        <f t="shared" si="5"/>
        <v>5.5</v>
      </c>
      <c r="J15" s="99" t="s">
        <v>30</v>
      </c>
      <c r="K15" s="99">
        <v>20</v>
      </c>
      <c r="L15" s="100">
        <v>12</v>
      </c>
      <c r="M15" s="60">
        <f t="shared" si="6"/>
        <v>240</v>
      </c>
      <c r="N15" s="99">
        <v>10</v>
      </c>
      <c r="O15" s="102">
        <v>0</v>
      </c>
      <c r="P15" s="56">
        <f t="shared" si="7"/>
        <v>24</v>
      </c>
      <c r="Q15" s="56">
        <f t="shared" si="2"/>
        <v>10.200000000000001</v>
      </c>
    </row>
    <row r="16" spans="2:17" ht="17.25" customHeight="1" x14ac:dyDescent="0.3">
      <c r="B16" s="13" t="s">
        <v>70</v>
      </c>
      <c r="C16" s="15" t="s">
        <v>69</v>
      </c>
      <c r="D16" s="99">
        <v>220</v>
      </c>
      <c r="E16" s="100">
        <v>20</v>
      </c>
      <c r="F16" s="60">
        <f t="shared" si="3"/>
        <v>4400</v>
      </c>
      <c r="G16" s="60">
        <f t="shared" si="4"/>
        <v>220</v>
      </c>
      <c r="H16" s="57">
        <f t="shared" si="5"/>
        <v>3.6666666666666665</v>
      </c>
      <c r="J16" s="99" t="s">
        <v>38</v>
      </c>
      <c r="K16" s="99">
        <v>1</v>
      </c>
      <c r="L16" s="100">
        <v>13</v>
      </c>
      <c r="M16" s="60">
        <f t="shared" si="6"/>
        <v>13</v>
      </c>
      <c r="N16" s="99">
        <v>10</v>
      </c>
      <c r="O16" s="102">
        <v>0</v>
      </c>
      <c r="P16" s="56">
        <f t="shared" si="7"/>
        <v>1.3</v>
      </c>
      <c r="Q16" s="56">
        <f t="shared" si="2"/>
        <v>0.55249999999999999</v>
      </c>
    </row>
    <row r="17" spans="2:17" ht="17.25" customHeight="1" x14ac:dyDescent="0.3">
      <c r="B17" s="13" t="s">
        <v>71</v>
      </c>
      <c r="C17" s="15" t="s">
        <v>72</v>
      </c>
      <c r="D17" s="99">
        <v>200</v>
      </c>
      <c r="E17" s="100">
        <v>0.75</v>
      </c>
      <c r="F17" s="60">
        <f t="shared" ref="F17:F23" si="8">D17*E17</f>
        <v>150</v>
      </c>
      <c r="G17" s="60">
        <f t="shared" ref="G17:G27" si="9">F17/$C$3</f>
        <v>7.5</v>
      </c>
      <c r="H17" s="57">
        <f t="shared" ref="H17:H27" si="10">F17/$D$7</f>
        <v>0.125</v>
      </c>
      <c r="J17" s="99" t="s">
        <v>35</v>
      </c>
      <c r="K17" s="99">
        <v>7</v>
      </c>
      <c r="L17" s="100">
        <v>9</v>
      </c>
      <c r="M17" s="60">
        <f t="shared" si="6"/>
        <v>63</v>
      </c>
      <c r="N17" s="99">
        <v>10</v>
      </c>
      <c r="O17" s="102">
        <v>0</v>
      </c>
      <c r="P17" s="56">
        <f t="shared" si="7"/>
        <v>6.3</v>
      </c>
      <c r="Q17" s="56">
        <f t="shared" si="2"/>
        <v>2.6775000000000002</v>
      </c>
    </row>
    <row r="18" spans="2:17" ht="17.25" customHeight="1" x14ac:dyDescent="0.3">
      <c r="B18" s="13" t="s">
        <v>27</v>
      </c>
      <c r="C18" s="15" t="s">
        <v>72</v>
      </c>
      <c r="D18" s="99">
        <v>100</v>
      </c>
      <c r="E18" s="100">
        <v>2.75</v>
      </c>
      <c r="F18" s="60">
        <f t="shared" si="8"/>
        <v>275</v>
      </c>
      <c r="G18" s="60">
        <f t="shared" si="9"/>
        <v>13.75</v>
      </c>
      <c r="H18" s="57">
        <f t="shared" si="10"/>
        <v>0.22916666666666666</v>
      </c>
      <c r="J18" s="99" t="s">
        <v>43</v>
      </c>
      <c r="K18" s="99">
        <v>1</v>
      </c>
      <c r="L18" s="100">
        <v>50</v>
      </c>
      <c r="M18" s="60">
        <f t="shared" si="6"/>
        <v>50</v>
      </c>
      <c r="N18" s="99">
        <v>10</v>
      </c>
      <c r="O18" s="102">
        <v>0</v>
      </c>
      <c r="P18" s="56">
        <f t="shared" si="7"/>
        <v>5</v>
      </c>
      <c r="Q18" s="56">
        <f t="shared" si="2"/>
        <v>2.125</v>
      </c>
    </row>
    <row r="19" spans="2:17" ht="17.25" customHeight="1" x14ac:dyDescent="0.3">
      <c r="B19" s="13" t="s">
        <v>135</v>
      </c>
      <c r="C19" s="15" t="s">
        <v>150</v>
      </c>
      <c r="D19" s="109">
        <v>240</v>
      </c>
      <c r="E19" s="100">
        <v>0.09</v>
      </c>
      <c r="F19" s="60">
        <f t="shared" si="8"/>
        <v>21.599999999999998</v>
      </c>
      <c r="G19" s="60">
        <f t="shared" si="9"/>
        <v>1.0799999999999998</v>
      </c>
      <c r="H19" s="57">
        <f t="shared" si="10"/>
        <v>1.7999999999999999E-2</v>
      </c>
      <c r="J19" s="99" t="s">
        <v>123</v>
      </c>
      <c r="K19" s="99">
        <v>1</v>
      </c>
      <c r="L19" s="100">
        <v>10</v>
      </c>
      <c r="M19" s="60">
        <f t="shared" si="6"/>
        <v>10</v>
      </c>
      <c r="N19" s="99">
        <v>10</v>
      </c>
      <c r="O19" s="102">
        <v>0</v>
      </c>
      <c r="P19" s="56">
        <f t="shared" si="7"/>
        <v>1</v>
      </c>
      <c r="Q19" s="56">
        <f t="shared" si="2"/>
        <v>0.42500000000000004</v>
      </c>
    </row>
    <row r="20" spans="2:17" ht="17.25" customHeight="1" x14ac:dyDescent="0.3">
      <c r="B20" s="13" t="s">
        <v>29</v>
      </c>
      <c r="C20" s="15" t="s">
        <v>72</v>
      </c>
      <c r="D20" s="110">
        <v>80</v>
      </c>
      <c r="E20" s="100">
        <v>0.42499999999999999</v>
      </c>
      <c r="F20" s="60">
        <f t="shared" si="8"/>
        <v>34</v>
      </c>
      <c r="G20" s="60">
        <f t="shared" si="9"/>
        <v>1.7</v>
      </c>
      <c r="H20" s="57">
        <f t="shared" si="10"/>
        <v>2.8333333333333332E-2</v>
      </c>
      <c r="J20" s="99" t="s">
        <v>128</v>
      </c>
      <c r="K20" s="99">
        <v>20</v>
      </c>
      <c r="L20" s="100">
        <v>3</v>
      </c>
      <c r="M20" s="60">
        <f t="shared" si="6"/>
        <v>60</v>
      </c>
      <c r="N20" s="99">
        <v>10</v>
      </c>
      <c r="O20" s="102">
        <v>0</v>
      </c>
      <c r="P20" s="56">
        <f t="shared" si="7"/>
        <v>6</v>
      </c>
      <c r="Q20" s="56">
        <f t="shared" si="2"/>
        <v>2.5500000000000003</v>
      </c>
    </row>
    <row r="21" spans="2:17" ht="17.25" customHeight="1" x14ac:dyDescent="0.3">
      <c r="B21" s="13" t="s">
        <v>76</v>
      </c>
      <c r="C21" s="15" t="s">
        <v>61</v>
      </c>
      <c r="D21" s="110">
        <v>1200</v>
      </c>
      <c r="E21" s="100">
        <v>0.8</v>
      </c>
      <c r="F21" s="60">
        <f t="shared" si="8"/>
        <v>960</v>
      </c>
      <c r="G21" s="60">
        <f t="shared" si="9"/>
        <v>48</v>
      </c>
      <c r="H21" s="57">
        <f t="shared" si="10"/>
        <v>0.8</v>
      </c>
      <c r="J21" s="99" t="s">
        <v>41</v>
      </c>
      <c r="K21" s="99">
        <v>1</v>
      </c>
      <c r="L21" s="100">
        <v>140</v>
      </c>
      <c r="M21" s="60">
        <f t="shared" si="6"/>
        <v>140</v>
      </c>
      <c r="N21" s="99">
        <v>10</v>
      </c>
      <c r="O21" s="102">
        <v>0</v>
      </c>
      <c r="P21" s="56">
        <f t="shared" si="7"/>
        <v>14</v>
      </c>
      <c r="Q21" s="56">
        <f t="shared" si="2"/>
        <v>5.95</v>
      </c>
    </row>
    <row r="22" spans="2:17" ht="17.25" customHeight="1" x14ac:dyDescent="0.3">
      <c r="B22" s="13" t="s">
        <v>126</v>
      </c>
      <c r="C22" s="15" t="s">
        <v>61</v>
      </c>
      <c r="D22" s="110">
        <v>1200</v>
      </c>
      <c r="E22" s="100">
        <v>0.15</v>
      </c>
      <c r="F22" s="60">
        <f t="shared" si="8"/>
        <v>180</v>
      </c>
      <c r="G22" s="60">
        <f t="shared" si="9"/>
        <v>9</v>
      </c>
      <c r="H22" s="57">
        <f t="shared" si="10"/>
        <v>0.15</v>
      </c>
      <c r="J22" s="99" t="s">
        <v>138</v>
      </c>
      <c r="K22" s="99">
        <v>1</v>
      </c>
      <c r="L22" s="100">
        <v>350</v>
      </c>
      <c r="M22" s="60">
        <f t="shared" si="6"/>
        <v>350</v>
      </c>
      <c r="N22" s="99">
        <v>15</v>
      </c>
      <c r="O22" s="102">
        <v>0</v>
      </c>
      <c r="P22" s="56">
        <f t="shared" si="7"/>
        <v>23.333333333333332</v>
      </c>
      <c r="Q22" s="56">
        <f t="shared" si="2"/>
        <v>14.875000000000002</v>
      </c>
    </row>
    <row r="23" spans="2:17" ht="17.25" customHeight="1" x14ac:dyDescent="0.3">
      <c r="B23" s="13" t="s">
        <v>146</v>
      </c>
      <c r="C23" s="15" t="s">
        <v>34</v>
      </c>
      <c r="D23" s="99">
        <v>300</v>
      </c>
      <c r="E23" s="100">
        <v>3.2</v>
      </c>
      <c r="F23" s="60">
        <f t="shared" si="8"/>
        <v>960</v>
      </c>
      <c r="G23" s="60">
        <f t="shared" si="9"/>
        <v>48</v>
      </c>
      <c r="H23" s="57">
        <f t="shared" si="10"/>
        <v>0.8</v>
      </c>
      <c r="M23" s="60"/>
    </row>
    <row r="24" spans="2:17" ht="17.25" customHeight="1" x14ac:dyDescent="0.3">
      <c r="B24" s="13" t="s">
        <v>119</v>
      </c>
      <c r="C24" s="15" t="s">
        <v>81</v>
      </c>
      <c r="D24" s="111">
        <v>0.15</v>
      </c>
      <c r="E24" s="56"/>
      <c r="F24" s="60">
        <f>F11*D24</f>
        <v>1954.8</v>
      </c>
      <c r="G24" s="60">
        <f t="shared" si="9"/>
        <v>97.74</v>
      </c>
      <c r="H24" s="57">
        <f t="shared" si="10"/>
        <v>1.629</v>
      </c>
      <c r="J24" s="70" t="s">
        <v>74</v>
      </c>
      <c r="L24" s="56"/>
      <c r="M24" s="60"/>
      <c r="O24" s="71"/>
      <c r="P24" s="56"/>
      <c r="Q24" s="56"/>
    </row>
    <row r="25" spans="2:17" ht="17.25" customHeight="1" x14ac:dyDescent="0.3">
      <c r="B25" s="13" t="s">
        <v>83</v>
      </c>
      <c r="C25" s="124" t="s">
        <v>148</v>
      </c>
      <c r="D25" s="111">
        <v>1.4999999999999999E-2</v>
      </c>
      <c r="E25" s="56"/>
      <c r="F25" s="60">
        <f>M37*D25</f>
        <v>146.66999999999999</v>
      </c>
      <c r="G25" s="60">
        <f t="shared" si="9"/>
        <v>7.333499999999999</v>
      </c>
      <c r="H25" s="57">
        <f t="shared" si="10"/>
        <v>0.12222499999999999</v>
      </c>
      <c r="J25" s="99" t="s">
        <v>75</v>
      </c>
      <c r="K25" s="99">
        <v>1</v>
      </c>
      <c r="L25" s="100">
        <v>100</v>
      </c>
      <c r="M25" s="60">
        <f t="shared" ref="M25:M29" si="11">K25*L25</f>
        <v>100</v>
      </c>
      <c r="N25" s="99">
        <v>5</v>
      </c>
      <c r="O25" s="102">
        <v>0.1</v>
      </c>
      <c r="P25" s="56">
        <f t="shared" ref="P25:P29" si="12">IF(M25&gt;0,(M25-(M25*O25))/N25,"")</f>
        <v>18</v>
      </c>
      <c r="Q25" s="56">
        <f t="shared" ref="Q25:Q31" si="13">((M25+M25*O25)/2)*$D$31</f>
        <v>4.6750000000000007</v>
      </c>
    </row>
    <row r="26" spans="2:17" ht="17.25" customHeight="1" x14ac:dyDescent="0.3">
      <c r="B26" s="13" t="s">
        <v>42</v>
      </c>
      <c r="C26" s="15" t="s">
        <v>40</v>
      </c>
      <c r="E26" s="56"/>
      <c r="F26" s="106">
        <v>60</v>
      </c>
      <c r="G26" s="60">
        <f t="shared" si="9"/>
        <v>3</v>
      </c>
      <c r="H26" s="57">
        <f t="shared" si="10"/>
        <v>0.05</v>
      </c>
      <c r="J26" s="99" t="s">
        <v>77</v>
      </c>
      <c r="K26" s="99">
        <v>1</v>
      </c>
      <c r="L26" s="100">
        <v>12</v>
      </c>
      <c r="M26" s="60">
        <f t="shared" si="11"/>
        <v>12</v>
      </c>
      <c r="N26" s="99">
        <v>5</v>
      </c>
      <c r="O26" s="102">
        <v>0.1</v>
      </c>
      <c r="P26" s="56">
        <f t="shared" si="12"/>
        <v>2.16</v>
      </c>
      <c r="Q26" s="56">
        <f t="shared" si="13"/>
        <v>0.56100000000000005</v>
      </c>
    </row>
    <row r="27" spans="2:17" ht="17.25" customHeight="1" x14ac:dyDescent="0.3">
      <c r="B27" s="13" t="s">
        <v>152</v>
      </c>
      <c r="C27" s="15" t="s">
        <v>47</v>
      </c>
      <c r="D27" s="112">
        <v>8.5000000000000006E-2</v>
      </c>
      <c r="E27" s="56"/>
      <c r="F27" s="65">
        <f>SUM(F14:F26)/2*D27</f>
        <v>711.11297500000001</v>
      </c>
      <c r="G27" s="65">
        <f t="shared" si="9"/>
        <v>35.555648750000003</v>
      </c>
      <c r="H27" s="64">
        <f t="shared" si="10"/>
        <v>0.59259414583333336</v>
      </c>
      <c r="J27" s="99" t="s">
        <v>79</v>
      </c>
      <c r="K27" s="99">
        <v>1</v>
      </c>
      <c r="L27" s="100">
        <v>850</v>
      </c>
      <c r="M27" s="60">
        <f t="shared" si="11"/>
        <v>850</v>
      </c>
      <c r="N27" s="99">
        <v>5</v>
      </c>
      <c r="O27" s="102">
        <v>0.1</v>
      </c>
      <c r="P27" s="56">
        <f t="shared" si="12"/>
        <v>153</v>
      </c>
      <c r="Q27" s="56">
        <f t="shared" si="13"/>
        <v>39.737500000000004</v>
      </c>
    </row>
    <row r="28" spans="2:17" ht="17.25" customHeight="1" x14ac:dyDescent="0.3">
      <c r="B28" s="13"/>
      <c r="E28" s="58" t="s">
        <v>88</v>
      </c>
      <c r="F28" s="61">
        <f>SUM(F14:F27)</f>
        <v>17443.182975</v>
      </c>
      <c r="G28" s="61">
        <f>SUM(G14:G27)</f>
        <v>872.1591487500001</v>
      </c>
      <c r="H28" s="59">
        <f>SUM(H14:H27)</f>
        <v>14.535985812500003</v>
      </c>
      <c r="J28" s="99" t="s">
        <v>82</v>
      </c>
      <c r="K28" s="99">
        <v>1</v>
      </c>
      <c r="L28" s="100">
        <v>40</v>
      </c>
      <c r="M28" s="60">
        <f t="shared" si="11"/>
        <v>40</v>
      </c>
      <c r="N28" s="99">
        <v>5</v>
      </c>
      <c r="O28" s="102">
        <v>0.1</v>
      </c>
      <c r="P28" s="56">
        <f t="shared" si="12"/>
        <v>7.2</v>
      </c>
      <c r="Q28" s="56">
        <f t="shared" si="13"/>
        <v>1.87</v>
      </c>
    </row>
    <row r="29" spans="2:17" ht="17.25" customHeight="1" x14ac:dyDescent="0.3">
      <c r="B29" s="13"/>
      <c r="F29" s="27"/>
      <c r="G29" s="27"/>
      <c r="H29" s="16"/>
      <c r="J29" s="99" t="s">
        <v>84</v>
      </c>
      <c r="K29" s="99">
        <v>5</v>
      </c>
      <c r="L29" s="100">
        <v>40</v>
      </c>
      <c r="M29" s="60">
        <f t="shared" si="11"/>
        <v>200</v>
      </c>
      <c r="N29" s="99">
        <v>10</v>
      </c>
      <c r="O29" s="102">
        <v>0.1</v>
      </c>
      <c r="P29" s="56">
        <f t="shared" si="12"/>
        <v>18</v>
      </c>
      <c r="Q29" s="56">
        <f t="shared" si="13"/>
        <v>9.3500000000000014</v>
      </c>
    </row>
    <row r="30" spans="2:17" ht="17.25" customHeight="1" x14ac:dyDescent="0.3">
      <c r="B30" s="38" t="s">
        <v>45</v>
      </c>
      <c r="C30" s="35"/>
      <c r="D30" s="40"/>
      <c r="E30" s="35"/>
      <c r="F30" s="41" t="s">
        <v>11</v>
      </c>
      <c r="G30" s="37" t="s">
        <v>23</v>
      </c>
      <c r="H30" s="39" t="s">
        <v>57</v>
      </c>
      <c r="J30" s="99" t="s">
        <v>129</v>
      </c>
      <c r="K30" s="99">
        <v>1</v>
      </c>
      <c r="L30" s="100">
        <v>200</v>
      </c>
      <c r="M30" s="60">
        <f>K30*L30</f>
        <v>200</v>
      </c>
      <c r="N30" s="99">
        <v>10</v>
      </c>
      <c r="O30" s="102">
        <v>0.1</v>
      </c>
      <c r="P30" s="56">
        <f>IF(M30&gt;0,(M30-(M30*O30))/N30,"")</f>
        <v>18</v>
      </c>
      <c r="Q30" s="56">
        <f t="shared" si="13"/>
        <v>9.3500000000000014</v>
      </c>
    </row>
    <row r="31" spans="2:17" ht="17.25" customHeight="1" x14ac:dyDescent="0.3">
      <c r="B31" s="13" t="s">
        <v>46</v>
      </c>
      <c r="C31" s="15" t="s">
        <v>47</v>
      </c>
      <c r="D31" s="111">
        <v>8.5000000000000006E-2</v>
      </c>
      <c r="E31" s="3"/>
      <c r="F31" s="60">
        <f>'20 hives'!P37+'20 hives'!Q37</f>
        <v>1466.5343333333335</v>
      </c>
      <c r="G31" s="60">
        <f>F31/$C$3</f>
        <v>73.32671666666667</v>
      </c>
      <c r="H31" s="57">
        <f>F31/$D$7</f>
        <v>1.2221119444444446</v>
      </c>
      <c r="J31" s="99" t="s">
        <v>87</v>
      </c>
      <c r="K31" s="99">
        <v>1</v>
      </c>
      <c r="L31" s="100">
        <v>50</v>
      </c>
      <c r="M31" s="60">
        <f>K31*L31</f>
        <v>50</v>
      </c>
      <c r="N31" s="99">
        <v>5</v>
      </c>
      <c r="O31" s="102">
        <v>0.1</v>
      </c>
      <c r="P31" s="56">
        <f>IF(M31&gt;0,(M31-(M31*O31))/N31,"")</f>
        <v>9</v>
      </c>
      <c r="Q31" s="56">
        <f t="shared" si="13"/>
        <v>2.3375000000000004</v>
      </c>
    </row>
    <row r="32" spans="2:17" ht="17.25" customHeight="1" x14ac:dyDescent="0.3">
      <c r="B32" s="13" t="s">
        <v>48</v>
      </c>
      <c r="E32" s="3"/>
      <c r="F32" s="113">
        <v>250</v>
      </c>
      <c r="G32" s="65">
        <f>F32/$C$3</f>
        <v>12.5</v>
      </c>
      <c r="H32" s="64">
        <f>F32/$D$7</f>
        <v>0.20833333333333334</v>
      </c>
      <c r="M32" s="60"/>
    </row>
    <row r="33" spans="2:17" ht="17.25" customHeight="1" x14ac:dyDescent="0.3">
      <c r="B33" s="13"/>
      <c r="E33" s="24" t="s">
        <v>49</v>
      </c>
      <c r="F33" s="61">
        <f>SUM(F31:F32)</f>
        <v>1716.5343333333335</v>
      </c>
      <c r="G33" s="61">
        <f>SUM(G31:G32)</f>
        <v>85.82671666666667</v>
      </c>
      <c r="H33" s="59">
        <f>SUM(H31:H32)</f>
        <v>1.4304452777777779</v>
      </c>
      <c r="J33" s="125" t="s">
        <v>145</v>
      </c>
      <c r="M33" s="60"/>
    </row>
    <row r="34" spans="2:17" ht="17.25" customHeight="1" x14ac:dyDescent="0.3">
      <c r="B34" s="13"/>
      <c r="F34" s="60"/>
      <c r="G34" s="60"/>
      <c r="H34" s="57"/>
      <c r="J34" s="99" t="s">
        <v>142</v>
      </c>
      <c r="K34" s="99">
        <v>4</v>
      </c>
      <c r="L34" s="128">
        <v>10</v>
      </c>
      <c r="M34" s="60">
        <f>K34*L34</f>
        <v>40</v>
      </c>
      <c r="N34" s="99">
        <v>10</v>
      </c>
      <c r="O34" s="129">
        <v>0.1</v>
      </c>
      <c r="P34" s="56">
        <f>IF(M34&gt;0,(M34-(M34*O34))/N34,"")</f>
        <v>3.6</v>
      </c>
      <c r="Q34" s="56">
        <f>((M34+M34*O34)/2)*$D$31</f>
        <v>1.87</v>
      </c>
    </row>
    <row r="35" spans="2:17" ht="17.25" customHeight="1" x14ac:dyDescent="0.3">
      <c r="B35" s="13"/>
      <c r="E35" s="24" t="s">
        <v>50</v>
      </c>
      <c r="F35" s="61">
        <f>F28+F33</f>
        <v>19159.717308333333</v>
      </c>
      <c r="G35" s="61">
        <f>G28+G33</f>
        <v>957.9858654166668</v>
      </c>
      <c r="H35" s="59">
        <f>H28+H33</f>
        <v>15.966431090277782</v>
      </c>
      <c r="J35" s="99" t="s">
        <v>143</v>
      </c>
      <c r="K35" s="99">
        <v>1</v>
      </c>
      <c r="L35" s="128">
        <v>20</v>
      </c>
      <c r="M35" s="60">
        <f>K35*L35</f>
        <v>20</v>
      </c>
      <c r="N35" s="99">
        <v>10</v>
      </c>
      <c r="O35" s="129">
        <v>0.1</v>
      </c>
      <c r="P35" s="56">
        <f>IF(M35&gt;0,(M35-(M35*O35))/N35,"")</f>
        <v>1.8</v>
      </c>
      <c r="Q35" s="56">
        <f>((M35+M35*O35)/2)*$D$31</f>
        <v>0.93500000000000005</v>
      </c>
    </row>
    <row r="36" spans="2:17" ht="17.25" customHeight="1" x14ac:dyDescent="0.3">
      <c r="B36" s="42"/>
      <c r="C36" s="43"/>
      <c r="D36" s="43"/>
      <c r="E36" s="131"/>
      <c r="F36" s="118"/>
      <c r="G36" s="118"/>
      <c r="H36" s="132"/>
      <c r="J36" s="99" t="s">
        <v>144</v>
      </c>
      <c r="K36" s="99">
        <v>4</v>
      </c>
      <c r="L36" s="128">
        <v>50</v>
      </c>
      <c r="M36" s="65">
        <f>K36*L36</f>
        <v>200</v>
      </c>
      <c r="N36" s="99">
        <v>10</v>
      </c>
      <c r="O36" s="129">
        <v>0.1</v>
      </c>
      <c r="P36" s="56">
        <f>IF(M36&gt;0,(M36-(M36*O36))/N36,"")</f>
        <v>18</v>
      </c>
      <c r="Q36" s="56">
        <f>((M36+M36*O36)/2)*$D$31</f>
        <v>9.3500000000000014</v>
      </c>
    </row>
    <row r="37" spans="2:17" ht="17.25" customHeight="1" x14ac:dyDescent="0.3">
      <c r="B37" s="13"/>
      <c r="E37" s="24" t="s">
        <v>113</v>
      </c>
      <c r="F37" s="61">
        <f>F11-F28</f>
        <v>-4411.1829749999997</v>
      </c>
      <c r="G37" s="61">
        <f>G11-G28</f>
        <v>-220.55914875000008</v>
      </c>
      <c r="H37" s="59">
        <f>H11-H28</f>
        <v>-3.675985812500004</v>
      </c>
      <c r="L37" s="24" t="s">
        <v>11</v>
      </c>
      <c r="M37" s="61">
        <f>SUM(M7:M36)</f>
        <v>9778</v>
      </c>
      <c r="N37" s="133"/>
      <c r="O37" s="133"/>
      <c r="P37" s="134">
        <f>SUM(P7:P36)</f>
        <v>1043.6933333333334</v>
      </c>
      <c r="Q37" s="134">
        <f>SUM(Q7:Q36)</f>
        <v>422.84100000000007</v>
      </c>
    </row>
    <row r="38" spans="2:17" ht="17.25" customHeight="1" x14ac:dyDescent="0.3">
      <c r="B38" s="13"/>
      <c r="E38" s="24" t="s">
        <v>116</v>
      </c>
      <c r="F38" s="61">
        <f>F37+F15+F16</f>
        <v>6588.8170250000003</v>
      </c>
      <c r="G38" s="61">
        <f>G37+G15+G16</f>
        <v>329.44085124999992</v>
      </c>
      <c r="H38" s="59">
        <f>H37+H15+H16</f>
        <v>5.4906808541666621</v>
      </c>
    </row>
    <row r="39" spans="2:17" ht="17.25" customHeight="1" x14ac:dyDescent="0.3">
      <c r="B39" s="13"/>
      <c r="E39" s="24" t="s">
        <v>114</v>
      </c>
      <c r="F39" s="61">
        <f>F11-F28-F33</f>
        <v>-6127.7173083333328</v>
      </c>
      <c r="G39" s="61">
        <f>G11-G28-G33</f>
        <v>-306.38586541666677</v>
      </c>
      <c r="H39" s="59">
        <f>H11-H28-H33</f>
        <v>-5.1064310902777823</v>
      </c>
    </row>
    <row r="40" spans="2:17" ht="17.25" customHeight="1" thickBot="1" x14ac:dyDescent="0.35">
      <c r="B40" s="30"/>
      <c r="C40" s="4"/>
      <c r="D40" s="4"/>
      <c r="E40" s="5" t="s">
        <v>115</v>
      </c>
      <c r="F40" s="67">
        <f>F39+F15+F16</f>
        <v>4872.2826916666672</v>
      </c>
      <c r="G40" s="67">
        <f>G39+G15+G16</f>
        <v>243.61413458333323</v>
      </c>
      <c r="H40" s="68">
        <f>H39+H15+H16</f>
        <v>4.0602355763888838</v>
      </c>
      <c r="J40" s="60"/>
      <c r="K40" s="60"/>
    </row>
    <row r="41" spans="2:17" ht="17.25" customHeight="1" x14ac:dyDescent="0.3"/>
    <row r="42" spans="2:17" ht="17.25" customHeight="1" x14ac:dyDescent="0.3"/>
    <row r="43" spans="2:17" ht="17.25" hidden="1" customHeight="1" x14ac:dyDescent="0.3">
      <c r="D43" s="3"/>
    </row>
    <row r="44" spans="2:17" ht="17.25" hidden="1" customHeight="1" x14ac:dyDescent="0.3"/>
    <row r="47" spans="2:17" hidden="1" x14ac:dyDescent="0.3">
      <c r="L47" s="3"/>
    </row>
    <row r="49" s="1" customFormat="1" hidden="1" x14ac:dyDescent="0.3"/>
    <row r="50" s="1" customFormat="1" hidden="1" x14ac:dyDescent="0.3"/>
    <row r="51" s="1" customFormat="1" hidden="1" x14ac:dyDescent="0.3"/>
    <row r="52" s="1" customFormat="1" hidden="1" x14ac:dyDescent="0.3"/>
    <row r="53" s="1" customFormat="1" hidden="1" x14ac:dyDescent="0.3"/>
    <row r="54" s="1" customFormat="1" hidden="1" x14ac:dyDescent="0.3"/>
    <row r="55" s="1" customFormat="1" hidden="1" x14ac:dyDescent="0.3"/>
    <row r="56" s="1" customFormat="1" hidden="1" x14ac:dyDescent="0.3"/>
    <row r="57" s="1" customFormat="1" hidden="1" x14ac:dyDescent="0.3"/>
    <row r="58" s="1" customFormat="1" hidden="1" x14ac:dyDescent="0.3"/>
    <row r="59" s="1" customFormat="1" hidden="1" x14ac:dyDescent="0.3"/>
  </sheetData>
  <mergeCells count="1">
    <mergeCell ref="B1:H1"/>
  </mergeCells>
  <phoneticPr fontId="7"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B82CB5-C532-4355-8D4F-C30766260EFB}">
  <dimension ref="A1:XFC65"/>
  <sheetViews>
    <sheetView topLeftCell="A6" zoomScaleNormal="100" workbookViewId="0">
      <selection activeCell="J38" sqref="J38"/>
    </sheetView>
  </sheetViews>
  <sheetFormatPr defaultColWidth="0" defaultRowHeight="16.5" zeroHeight="1" x14ac:dyDescent="0.3"/>
  <cols>
    <col min="1" max="1" width="3.25" style="1" customWidth="1"/>
    <col min="2" max="2" width="42.75" style="1" customWidth="1"/>
    <col min="3" max="4" width="10.375" style="1" customWidth="1"/>
    <col min="5" max="5" width="10.625" style="1" customWidth="1"/>
    <col min="6" max="7" width="11.375" style="1" customWidth="1"/>
    <col min="8" max="8" width="9" style="1" customWidth="1"/>
    <col min="9" max="9" width="5.625" style="1" customWidth="1"/>
    <col min="10" max="10" width="33" style="1" customWidth="1"/>
    <col min="11" max="12" width="9" style="1" customWidth="1"/>
    <col min="13" max="13" width="11.375" style="1" customWidth="1"/>
    <col min="14" max="15" width="9" style="1" customWidth="1"/>
    <col min="16" max="16" width="13" style="1" customWidth="1"/>
    <col min="17" max="17" width="10" style="1" customWidth="1"/>
    <col min="18" max="16382" width="9" style="1" hidden="1"/>
    <col min="16383" max="16383" width="0.25" style="1" customWidth="1"/>
    <col min="16384" max="16384" width="1.25" style="1" hidden="1" customWidth="1"/>
  </cols>
  <sheetData>
    <row r="1" spans="2:17" ht="20.25" x14ac:dyDescent="0.35">
      <c r="B1" s="154" t="s">
        <v>133</v>
      </c>
      <c r="C1" s="155"/>
      <c r="D1" s="155"/>
      <c r="E1" s="155"/>
      <c r="F1" s="155"/>
      <c r="G1" s="155"/>
      <c r="H1" s="156"/>
    </row>
    <row r="2" spans="2:17" ht="17.25" customHeight="1" x14ac:dyDescent="0.35">
      <c r="B2" s="10"/>
      <c r="C2" s="11"/>
      <c r="D2" s="11"/>
      <c r="E2" s="11"/>
      <c r="F2" s="11"/>
      <c r="G2" s="11"/>
      <c r="H2" s="12"/>
      <c r="J2" s="51" t="s">
        <v>5</v>
      </c>
      <c r="K2" s="51"/>
      <c r="L2" s="51"/>
      <c r="M2" s="51"/>
      <c r="N2" s="51"/>
      <c r="O2" s="51"/>
      <c r="P2" s="51"/>
      <c r="Q2" s="43"/>
    </row>
    <row r="3" spans="2:17" ht="17.25" customHeight="1" x14ac:dyDescent="0.3">
      <c r="B3" s="13" t="s">
        <v>6</v>
      </c>
      <c r="C3" s="99">
        <v>30</v>
      </c>
      <c r="D3" s="15" t="s">
        <v>7</v>
      </c>
      <c r="H3" s="16"/>
      <c r="J3" s="47" t="s">
        <v>8</v>
      </c>
      <c r="K3" s="47" t="s">
        <v>9</v>
      </c>
      <c r="L3" s="52" t="s">
        <v>10</v>
      </c>
      <c r="M3" s="31" t="s">
        <v>11</v>
      </c>
      <c r="N3" s="31" t="s">
        <v>12</v>
      </c>
      <c r="O3" s="31" t="s">
        <v>13</v>
      </c>
      <c r="P3" s="31" t="s">
        <v>14</v>
      </c>
      <c r="Q3" s="31" t="s">
        <v>15</v>
      </c>
    </row>
    <row r="4" spans="2:17" ht="17.25" customHeight="1" x14ac:dyDescent="0.3">
      <c r="B4" s="13" t="s">
        <v>51</v>
      </c>
      <c r="C4" s="99">
        <v>60</v>
      </c>
      <c r="D4" s="15" t="s">
        <v>52</v>
      </c>
      <c r="H4" s="16"/>
      <c r="J4" s="44"/>
      <c r="K4" s="44"/>
      <c r="L4" s="53" t="s">
        <v>53</v>
      </c>
      <c r="M4" s="45" t="s">
        <v>54</v>
      </c>
      <c r="N4" s="46"/>
      <c r="O4" s="45" t="s">
        <v>55</v>
      </c>
      <c r="P4" s="45"/>
      <c r="Q4" s="45"/>
    </row>
    <row r="5" spans="2:17" ht="17.25" customHeight="1" x14ac:dyDescent="0.3">
      <c r="B5" s="34"/>
      <c r="C5" s="2"/>
      <c r="H5" s="16"/>
      <c r="J5" s="48"/>
      <c r="K5" s="32" t="s">
        <v>16</v>
      </c>
      <c r="L5" s="32" t="s">
        <v>17</v>
      </c>
      <c r="M5" s="32" t="s">
        <v>17</v>
      </c>
      <c r="N5" s="32" t="s">
        <v>18</v>
      </c>
      <c r="O5" s="32" t="s">
        <v>19</v>
      </c>
      <c r="P5" s="32" t="s">
        <v>17</v>
      </c>
      <c r="Q5" s="32" t="s">
        <v>17</v>
      </c>
    </row>
    <row r="6" spans="2:17" ht="17.25" customHeight="1" x14ac:dyDescent="0.3">
      <c r="B6" s="38" t="s">
        <v>56</v>
      </c>
      <c r="C6" s="36" t="s">
        <v>149</v>
      </c>
      <c r="D6" s="37" t="s">
        <v>9</v>
      </c>
      <c r="E6" s="37" t="s">
        <v>22</v>
      </c>
      <c r="F6" s="37" t="s">
        <v>11</v>
      </c>
      <c r="G6" s="37" t="s">
        <v>23</v>
      </c>
      <c r="H6" s="39" t="s">
        <v>57</v>
      </c>
      <c r="J6" s="70" t="s">
        <v>24</v>
      </c>
      <c r="K6" s="32"/>
      <c r="L6" s="32"/>
      <c r="M6" s="32"/>
      <c r="N6" s="32"/>
      <c r="O6" s="32"/>
      <c r="P6" s="32"/>
      <c r="Q6" s="32"/>
    </row>
    <row r="7" spans="2:17" ht="17.25" customHeight="1" x14ac:dyDescent="0.3">
      <c r="B7" s="13" t="s">
        <v>58</v>
      </c>
      <c r="C7" s="17" t="s">
        <v>72</v>
      </c>
      <c r="D7" s="18">
        <f>C3*C4</f>
        <v>1800</v>
      </c>
      <c r="E7" s="100">
        <v>10.61</v>
      </c>
      <c r="F7" s="60">
        <f>D7*E7</f>
        <v>19098</v>
      </c>
      <c r="G7" s="60">
        <f>F7/$C$3</f>
        <v>636.6</v>
      </c>
      <c r="H7" s="57">
        <f>F7/$D$7</f>
        <v>10.61</v>
      </c>
      <c r="J7" s="99" t="s">
        <v>120</v>
      </c>
      <c r="K7" s="99">
        <v>12</v>
      </c>
      <c r="L7" s="100">
        <v>90</v>
      </c>
      <c r="M7" s="60">
        <f t="shared" ref="M7" si="0">K7*L7</f>
        <v>1080</v>
      </c>
      <c r="N7" s="99">
        <v>10</v>
      </c>
      <c r="O7" s="102">
        <v>0</v>
      </c>
      <c r="P7" s="56">
        <f t="shared" ref="P7" si="1">IF(M7&gt;0,(M7-(M7*O7))/N7,"")</f>
        <v>108</v>
      </c>
      <c r="Q7" s="56">
        <f t="shared" ref="Q7:Q22" si="2">((M7+M7*O7)/2)*$D$31</f>
        <v>45.900000000000006</v>
      </c>
    </row>
    <row r="8" spans="2:17" ht="17.25" customHeight="1" x14ac:dyDescent="0.3">
      <c r="B8" s="107" t="s">
        <v>141</v>
      </c>
      <c r="C8" s="108" t="s">
        <v>72</v>
      </c>
      <c r="D8" s="105">
        <v>30</v>
      </c>
      <c r="E8" s="100">
        <v>15</v>
      </c>
      <c r="F8" s="60">
        <f>D8*E8</f>
        <v>450</v>
      </c>
      <c r="G8" s="60">
        <f>F8/$C$3</f>
        <v>15</v>
      </c>
      <c r="H8" s="57">
        <f>F8/$D$7</f>
        <v>0.25</v>
      </c>
      <c r="J8" s="99" t="s">
        <v>59</v>
      </c>
      <c r="K8" s="99">
        <v>60</v>
      </c>
      <c r="L8" s="100">
        <v>70</v>
      </c>
      <c r="M8" s="60">
        <f t="shared" ref="M8:M13" si="3">K8*L8</f>
        <v>4200</v>
      </c>
      <c r="N8" s="99">
        <v>10</v>
      </c>
      <c r="O8" s="102">
        <v>0</v>
      </c>
      <c r="P8" s="56">
        <f t="shared" ref="P8:P13" si="4">IF(M8&gt;0,(M8-(M8*O8))/N8,"")</f>
        <v>420</v>
      </c>
      <c r="Q8" s="56">
        <f t="shared" si="2"/>
        <v>178.5</v>
      </c>
    </row>
    <row r="9" spans="2:17" ht="17.25" customHeight="1" x14ac:dyDescent="0.3">
      <c r="B9" s="107" t="s">
        <v>63</v>
      </c>
      <c r="C9" s="108"/>
      <c r="D9" s="105">
        <v>0</v>
      </c>
      <c r="E9" s="100">
        <v>0</v>
      </c>
      <c r="F9" s="60">
        <f>D9*E9</f>
        <v>0</v>
      </c>
      <c r="G9" s="60">
        <f>F9/$C$3</f>
        <v>0</v>
      </c>
      <c r="H9" s="57">
        <f>F9/$D$7</f>
        <v>0</v>
      </c>
      <c r="J9" s="99" t="s">
        <v>62</v>
      </c>
      <c r="K9" s="99">
        <v>30</v>
      </c>
      <c r="L9" s="100">
        <v>65</v>
      </c>
      <c r="M9" s="60">
        <f t="shared" si="3"/>
        <v>1950</v>
      </c>
      <c r="N9" s="99">
        <v>10</v>
      </c>
      <c r="O9" s="102">
        <v>0</v>
      </c>
      <c r="P9" s="56">
        <f t="shared" si="4"/>
        <v>195</v>
      </c>
      <c r="Q9" s="56">
        <f t="shared" si="2"/>
        <v>82.875</v>
      </c>
    </row>
    <row r="10" spans="2:17" ht="17.25" customHeight="1" x14ac:dyDescent="0.3">
      <c r="B10" s="107" t="s">
        <v>65</v>
      </c>
      <c r="C10" s="108"/>
      <c r="D10" s="105">
        <v>0</v>
      </c>
      <c r="E10" s="100">
        <v>0</v>
      </c>
      <c r="F10" s="65">
        <f>D10*E10</f>
        <v>0</v>
      </c>
      <c r="G10" s="65">
        <f>F10/$C$3</f>
        <v>0</v>
      </c>
      <c r="H10" s="64">
        <f>F10/$D$7</f>
        <v>0</v>
      </c>
      <c r="J10" s="99" t="s">
        <v>64</v>
      </c>
      <c r="K10" s="99">
        <v>30</v>
      </c>
      <c r="L10" s="100">
        <v>40</v>
      </c>
      <c r="M10" s="60">
        <f t="shared" si="3"/>
        <v>1200</v>
      </c>
      <c r="N10" s="99">
        <v>10</v>
      </c>
      <c r="O10" s="102">
        <v>0</v>
      </c>
      <c r="P10" s="56">
        <f t="shared" si="4"/>
        <v>120</v>
      </c>
      <c r="Q10" s="56">
        <f t="shared" si="2"/>
        <v>51.000000000000007</v>
      </c>
    </row>
    <row r="11" spans="2:17" ht="17.25" customHeight="1" x14ac:dyDescent="0.3">
      <c r="B11" s="22"/>
      <c r="E11" s="22" t="s">
        <v>117</v>
      </c>
      <c r="F11" s="61">
        <f>SUM(F7:F10)</f>
        <v>19548</v>
      </c>
      <c r="G11" s="61">
        <f>SUM(G7:G10)</f>
        <v>651.6</v>
      </c>
      <c r="H11" s="59">
        <f>F11/$D$7</f>
        <v>10.86</v>
      </c>
      <c r="J11" s="99" t="s">
        <v>122</v>
      </c>
      <c r="K11" s="99">
        <v>30</v>
      </c>
      <c r="L11" s="100">
        <v>45</v>
      </c>
      <c r="M11" s="60">
        <f t="shared" si="3"/>
        <v>1350</v>
      </c>
      <c r="N11" s="99">
        <v>10</v>
      </c>
      <c r="O11" s="102">
        <v>0</v>
      </c>
      <c r="P11" s="56">
        <f t="shared" si="4"/>
        <v>135</v>
      </c>
      <c r="Q11" s="56">
        <f t="shared" si="2"/>
        <v>57.375000000000007</v>
      </c>
    </row>
    <row r="12" spans="2:17" ht="17.25" customHeight="1" x14ac:dyDescent="0.3">
      <c r="B12" s="13"/>
      <c r="H12" s="16"/>
      <c r="J12" s="99" t="s">
        <v>130</v>
      </c>
      <c r="K12" s="99">
        <v>15</v>
      </c>
      <c r="L12" s="100">
        <v>35</v>
      </c>
      <c r="M12" s="60">
        <f t="shared" si="3"/>
        <v>525</v>
      </c>
      <c r="N12" s="99">
        <v>10</v>
      </c>
      <c r="O12" s="102">
        <v>0</v>
      </c>
      <c r="P12" s="56">
        <f t="shared" si="4"/>
        <v>52.5</v>
      </c>
      <c r="Q12" s="56">
        <f t="shared" si="2"/>
        <v>22.3125</v>
      </c>
    </row>
    <row r="13" spans="2:17" ht="17.25" customHeight="1" x14ac:dyDescent="0.3">
      <c r="B13" s="38" t="s">
        <v>20</v>
      </c>
      <c r="C13" s="36" t="s">
        <v>149</v>
      </c>
      <c r="D13" s="37" t="s">
        <v>9</v>
      </c>
      <c r="E13" s="37" t="s">
        <v>22</v>
      </c>
      <c r="F13" s="37" t="s">
        <v>11</v>
      </c>
      <c r="G13" s="37" t="s">
        <v>23</v>
      </c>
      <c r="H13" s="39" t="s">
        <v>57</v>
      </c>
      <c r="J13" s="99" t="s">
        <v>140</v>
      </c>
      <c r="K13" s="99">
        <v>1</v>
      </c>
      <c r="L13" s="100">
        <v>150</v>
      </c>
      <c r="M13" s="60">
        <f t="shared" si="3"/>
        <v>150</v>
      </c>
      <c r="N13" s="99">
        <v>10</v>
      </c>
      <c r="O13" s="102">
        <v>0</v>
      </c>
      <c r="P13" s="56">
        <f t="shared" si="4"/>
        <v>15</v>
      </c>
      <c r="Q13" s="56">
        <f t="shared" si="2"/>
        <v>6.3750000000000009</v>
      </c>
    </row>
    <row r="14" spans="2:17" ht="17.25" customHeight="1" x14ac:dyDescent="0.3">
      <c r="B14" s="13" t="s">
        <v>139</v>
      </c>
      <c r="C14" s="15" t="s">
        <v>68</v>
      </c>
      <c r="D14" s="109">
        <v>9</v>
      </c>
      <c r="E14" s="100">
        <v>165</v>
      </c>
      <c r="F14" s="60">
        <f t="shared" ref="F14:F16" si="5">D14*E14</f>
        <v>1485</v>
      </c>
      <c r="G14" s="60">
        <f t="shared" ref="G14:G16" si="6">F14/$C$3</f>
        <v>49.5</v>
      </c>
      <c r="H14" s="57">
        <f t="shared" ref="H14:H16" si="7">F14/$D$7</f>
        <v>0.82499999999999996</v>
      </c>
      <c r="J14" s="99" t="s">
        <v>32</v>
      </c>
      <c r="K14" s="99">
        <v>10</v>
      </c>
      <c r="L14" s="100">
        <v>35</v>
      </c>
      <c r="M14" s="60">
        <f t="shared" ref="M14:M19" si="8">K14*L14</f>
        <v>350</v>
      </c>
      <c r="N14" s="99">
        <v>10</v>
      </c>
      <c r="O14" s="102">
        <v>0</v>
      </c>
      <c r="P14" s="56">
        <f t="shared" ref="P14:P19" si="9">IF(M14&gt;0,(M14-(M14*O14))/N14,"")</f>
        <v>35</v>
      </c>
      <c r="Q14" s="56">
        <f t="shared" si="2"/>
        <v>14.875000000000002</v>
      </c>
    </row>
    <row r="15" spans="2:17" ht="17.25" customHeight="1" x14ac:dyDescent="0.3">
      <c r="B15" s="13" t="s">
        <v>36</v>
      </c>
      <c r="C15" s="15" t="s">
        <v>69</v>
      </c>
      <c r="D15" s="99">
        <v>420</v>
      </c>
      <c r="E15" s="100">
        <v>20</v>
      </c>
      <c r="F15" s="60">
        <f t="shared" si="5"/>
        <v>8400</v>
      </c>
      <c r="G15" s="60">
        <f t="shared" si="6"/>
        <v>280</v>
      </c>
      <c r="H15" s="57">
        <f t="shared" si="7"/>
        <v>4.666666666666667</v>
      </c>
      <c r="J15" s="99" t="s">
        <v>30</v>
      </c>
      <c r="K15" s="99">
        <v>30</v>
      </c>
      <c r="L15" s="100">
        <v>12</v>
      </c>
      <c r="M15" s="60">
        <f t="shared" si="8"/>
        <v>360</v>
      </c>
      <c r="N15" s="99">
        <v>10</v>
      </c>
      <c r="O15" s="102">
        <v>0</v>
      </c>
      <c r="P15" s="56">
        <f t="shared" si="9"/>
        <v>36</v>
      </c>
      <c r="Q15" s="56">
        <f t="shared" si="2"/>
        <v>15.3</v>
      </c>
    </row>
    <row r="16" spans="2:17" ht="17.25" customHeight="1" x14ac:dyDescent="0.3">
      <c r="B16" s="13" t="s">
        <v>70</v>
      </c>
      <c r="C16" s="15" t="s">
        <v>69</v>
      </c>
      <c r="D16" s="99">
        <v>280</v>
      </c>
      <c r="E16" s="100">
        <v>20</v>
      </c>
      <c r="F16" s="60">
        <f t="shared" si="5"/>
        <v>5600</v>
      </c>
      <c r="G16" s="60">
        <f t="shared" si="6"/>
        <v>186.66666666666666</v>
      </c>
      <c r="H16" s="57">
        <f t="shared" si="7"/>
        <v>3.1111111111111112</v>
      </c>
      <c r="J16" s="99" t="s">
        <v>38</v>
      </c>
      <c r="K16" s="99">
        <v>1</v>
      </c>
      <c r="L16" s="100">
        <v>13</v>
      </c>
      <c r="M16" s="60">
        <f t="shared" si="8"/>
        <v>13</v>
      </c>
      <c r="N16" s="99">
        <v>10</v>
      </c>
      <c r="O16" s="102">
        <v>0</v>
      </c>
      <c r="P16" s="56">
        <f t="shared" si="9"/>
        <v>1.3</v>
      </c>
      <c r="Q16" s="56">
        <f t="shared" si="2"/>
        <v>0.55249999999999999</v>
      </c>
    </row>
    <row r="17" spans="2:17" ht="17.25" customHeight="1" x14ac:dyDescent="0.3">
      <c r="B17" s="13" t="s">
        <v>71</v>
      </c>
      <c r="C17" s="15" t="s">
        <v>72</v>
      </c>
      <c r="D17" s="99">
        <v>300</v>
      </c>
      <c r="E17" s="100">
        <v>0.75</v>
      </c>
      <c r="F17" s="60">
        <f t="shared" ref="F17:F23" si="10">D17*E17</f>
        <v>225</v>
      </c>
      <c r="G17" s="60">
        <f t="shared" ref="G17:G27" si="11">F17/$C$3</f>
        <v>7.5</v>
      </c>
      <c r="H17" s="57">
        <f t="shared" ref="H17:H27" si="12">F17/$D$7</f>
        <v>0.125</v>
      </c>
      <c r="J17" s="99" t="s">
        <v>35</v>
      </c>
      <c r="K17" s="99">
        <v>12</v>
      </c>
      <c r="L17" s="100">
        <v>9</v>
      </c>
      <c r="M17" s="60">
        <f t="shared" si="8"/>
        <v>108</v>
      </c>
      <c r="N17" s="99">
        <v>10</v>
      </c>
      <c r="O17" s="102">
        <v>0</v>
      </c>
      <c r="P17" s="56">
        <f t="shared" si="9"/>
        <v>10.8</v>
      </c>
      <c r="Q17" s="56">
        <f t="shared" si="2"/>
        <v>4.5900000000000007</v>
      </c>
    </row>
    <row r="18" spans="2:17" ht="17.25" customHeight="1" x14ac:dyDescent="0.3">
      <c r="B18" s="13" t="s">
        <v>27</v>
      </c>
      <c r="C18" s="15" t="s">
        <v>72</v>
      </c>
      <c r="D18" s="99">
        <v>150</v>
      </c>
      <c r="E18" s="100">
        <v>2.75</v>
      </c>
      <c r="F18" s="60">
        <f t="shared" si="10"/>
        <v>412.5</v>
      </c>
      <c r="G18" s="60">
        <f t="shared" si="11"/>
        <v>13.75</v>
      </c>
      <c r="H18" s="57">
        <f t="shared" si="12"/>
        <v>0.22916666666666666</v>
      </c>
      <c r="J18" s="99" t="s">
        <v>43</v>
      </c>
      <c r="K18" s="99">
        <v>1</v>
      </c>
      <c r="L18" s="100">
        <v>50</v>
      </c>
      <c r="M18" s="60">
        <f t="shared" si="8"/>
        <v>50</v>
      </c>
      <c r="N18" s="99">
        <v>10</v>
      </c>
      <c r="O18" s="102">
        <v>0</v>
      </c>
      <c r="P18" s="56">
        <f t="shared" si="9"/>
        <v>5</v>
      </c>
      <c r="Q18" s="56">
        <f t="shared" si="2"/>
        <v>2.125</v>
      </c>
    </row>
    <row r="19" spans="2:17" ht="17.25" customHeight="1" x14ac:dyDescent="0.3">
      <c r="B19" s="13" t="s">
        <v>135</v>
      </c>
      <c r="C19" s="15" t="s">
        <v>150</v>
      </c>
      <c r="D19" s="109">
        <v>360</v>
      </c>
      <c r="E19" s="100">
        <v>0.09</v>
      </c>
      <c r="F19" s="60">
        <f t="shared" si="10"/>
        <v>32.4</v>
      </c>
      <c r="G19" s="60">
        <f t="shared" si="11"/>
        <v>1.0799999999999998</v>
      </c>
      <c r="H19" s="57">
        <f t="shared" si="12"/>
        <v>1.7999999999999999E-2</v>
      </c>
      <c r="J19" s="99" t="s">
        <v>123</v>
      </c>
      <c r="K19" s="99">
        <v>1</v>
      </c>
      <c r="L19" s="100">
        <v>10</v>
      </c>
      <c r="M19" s="60">
        <f t="shared" si="8"/>
        <v>10</v>
      </c>
      <c r="N19" s="99">
        <v>10</v>
      </c>
      <c r="O19" s="102">
        <v>0</v>
      </c>
      <c r="P19" s="56">
        <f t="shared" si="9"/>
        <v>1</v>
      </c>
      <c r="Q19" s="56">
        <f t="shared" si="2"/>
        <v>0.42500000000000004</v>
      </c>
    </row>
    <row r="20" spans="2:17" ht="17.25" customHeight="1" x14ac:dyDescent="0.3">
      <c r="B20" s="13" t="s">
        <v>29</v>
      </c>
      <c r="C20" s="15" t="s">
        <v>72</v>
      </c>
      <c r="D20" s="110">
        <v>120</v>
      </c>
      <c r="E20" s="100">
        <v>0.42499999999999999</v>
      </c>
      <c r="F20" s="60">
        <f t="shared" si="10"/>
        <v>51</v>
      </c>
      <c r="G20" s="60">
        <f t="shared" si="11"/>
        <v>1.7</v>
      </c>
      <c r="H20" s="57">
        <f t="shared" si="12"/>
        <v>2.8333333333333332E-2</v>
      </c>
      <c r="J20" s="99" t="s">
        <v>128</v>
      </c>
      <c r="K20" s="99">
        <v>30</v>
      </c>
      <c r="L20" s="100">
        <v>3</v>
      </c>
      <c r="M20" s="60">
        <f>K20*L20</f>
        <v>90</v>
      </c>
      <c r="N20" s="99">
        <v>10</v>
      </c>
      <c r="O20" s="102">
        <v>0</v>
      </c>
      <c r="P20" s="56">
        <f>IF(M20&gt;0,(M20-(M20*O20))/N20,"")</f>
        <v>9</v>
      </c>
      <c r="Q20" s="56">
        <f t="shared" si="2"/>
        <v>3.8250000000000002</v>
      </c>
    </row>
    <row r="21" spans="2:17" ht="17.25" customHeight="1" x14ac:dyDescent="0.3">
      <c r="B21" s="13" t="s">
        <v>76</v>
      </c>
      <c r="C21" s="15" t="s">
        <v>61</v>
      </c>
      <c r="D21" s="110">
        <v>1800</v>
      </c>
      <c r="E21" s="100">
        <v>0.8</v>
      </c>
      <c r="F21" s="60">
        <f t="shared" si="10"/>
        <v>1440</v>
      </c>
      <c r="G21" s="60">
        <f t="shared" si="11"/>
        <v>48</v>
      </c>
      <c r="H21" s="57">
        <f t="shared" si="12"/>
        <v>0.8</v>
      </c>
      <c r="J21" s="99" t="s">
        <v>41</v>
      </c>
      <c r="K21" s="99">
        <v>1</v>
      </c>
      <c r="L21" s="100">
        <v>140</v>
      </c>
      <c r="M21" s="60">
        <f>K21*L21</f>
        <v>140</v>
      </c>
      <c r="N21" s="99">
        <v>10</v>
      </c>
      <c r="O21" s="102">
        <v>0</v>
      </c>
      <c r="P21" s="56">
        <f>IF(M21&gt;0,(M21-(M21*O21))/N21,"")</f>
        <v>14</v>
      </c>
      <c r="Q21" s="56">
        <f t="shared" si="2"/>
        <v>5.95</v>
      </c>
    </row>
    <row r="22" spans="2:17" ht="17.25" customHeight="1" x14ac:dyDescent="0.3">
      <c r="B22" s="13" t="s">
        <v>126</v>
      </c>
      <c r="C22" s="15" t="s">
        <v>61</v>
      </c>
      <c r="D22" s="110">
        <v>1800</v>
      </c>
      <c r="E22" s="100">
        <v>0.15</v>
      </c>
      <c r="F22" s="60">
        <f t="shared" si="10"/>
        <v>270</v>
      </c>
      <c r="G22" s="60">
        <f t="shared" si="11"/>
        <v>9</v>
      </c>
      <c r="H22" s="57">
        <f t="shared" si="12"/>
        <v>0.15</v>
      </c>
      <c r="J22" s="99" t="s">
        <v>138</v>
      </c>
      <c r="K22" s="99">
        <v>1</v>
      </c>
      <c r="L22" s="100">
        <v>6500</v>
      </c>
      <c r="M22" s="60">
        <f>K22*L22</f>
        <v>6500</v>
      </c>
      <c r="N22" s="99">
        <v>15</v>
      </c>
      <c r="O22" s="102">
        <v>0</v>
      </c>
      <c r="P22" s="56">
        <f>IF(M22&gt;0,(M22-(M22*O22))/N22,"")</f>
        <v>433.33333333333331</v>
      </c>
      <c r="Q22" s="56">
        <f t="shared" si="2"/>
        <v>276.25</v>
      </c>
    </row>
    <row r="23" spans="2:17" ht="17.25" customHeight="1" x14ac:dyDescent="0.3">
      <c r="B23" s="13" t="s">
        <v>146</v>
      </c>
      <c r="C23" s="15" t="s">
        <v>34</v>
      </c>
      <c r="D23" s="99">
        <v>450</v>
      </c>
      <c r="E23" s="100">
        <v>3.2</v>
      </c>
      <c r="F23" s="60">
        <f t="shared" si="10"/>
        <v>1440</v>
      </c>
      <c r="G23" s="60">
        <f t="shared" si="11"/>
        <v>48</v>
      </c>
      <c r="H23" s="57">
        <f t="shared" si="12"/>
        <v>0.8</v>
      </c>
      <c r="M23" s="60"/>
    </row>
    <row r="24" spans="2:17" ht="17.25" customHeight="1" x14ac:dyDescent="0.3">
      <c r="B24" s="13" t="s">
        <v>127</v>
      </c>
      <c r="C24" s="15" t="s">
        <v>81</v>
      </c>
      <c r="D24" s="111">
        <v>0.15</v>
      </c>
      <c r="E24" s="56"/>
      <c r="F24" s="60">
        <f>F11*D24</f>
        <v>2932.2</v>
      </c>
      <c r="G24" s="60">
        <f t="shared" si="11"/>
        <v>97.74</v>
      </c>
      <c r="H24" s="57">
        <f t="shared" si="12"/>
        <v>1.629</v>
      </c>
      <c r="J24" s="70" t="s">
        <v>74</v>
      </c>
      <c r="L24" s="56"/>
      <c r="M24" s="60"/>
      <c r="O24" s="71"/>
      <c r="P24" s="56"/>
      <c r="Q24" s="56"/>
    </row>
    <row r="25" spans="2:17" ht="17.25" customHeight="1" x14ac:dyDescent="0.3">
      <c r="B25" s="13" t="s">
        <v>83</v>
      </c>
      <c r="C25" s="124" t="s">
        <v>148</v>
      </c>
      <c r="D25" s="111">
        <v>1.4999999999999999E-2</v>
      </c>
      <c r="E25" s="56"/>
      <c r="F25" s="60">
        <f>M37*D25</f>
        <v>333.87</v>
      </c>
      <c r="G25" s="60">
        <f t="shared" si="11"/>
        <v>11.129</v>
      </c>
      <c r="H25" s="57">
        <f t="shared" si="12"/>
        <v>0.18548333333333333</v>
      </c>
      <c r="J25" s="99" t="s">
        <v>75</v>
      </c>
      <c r="K25" s="99">
        <v>1</v>
      </c>
      <c r="L25" s="100">
        <v>100</v>
      </c>
      <c r="M25" s="60">
        <f t="shared" ref="M25:M29" si="13">K25*L25</f>
        <v>100</v>
      </c>
      <c r="N25" s="99">
        <v>5</v>
      </c>
      <c r="O25" s="102">
        <v>0.1</v>
      </c>
      <c r="P25" s="56">
        <f t="shared" ref="P25:P29" si="14">IF(M25&gt;0,(M25-(M25*O25))/N25,"")</f>
        <v>18</v>
      </c>
      <c r="Q25" s="56">
        <f t="shared" ref="Q25:Q31" si="15">((M25+M25*O25)/2)*$D$31</f>
        <v>4.6750000000000007</v>
      </c>
    </row>
    <row r="26" spans="2:17" ht="17.25" customHeight="1" x14ac:dyDescent="0.3">
      <c r="B26" s="13" t="s">
        <v>42</v>
      </c>
      <c r="C26" s="15" t="s">
        <v>40</v>
      </c>
      <c r="D26" s="28"/>
      <c r="E26" s="56"/>
      <c r="F26" s="106">
        <v>75</v>
      </c>
      <c r="G26" s="60">
        <f t="shared" si="11"/>
        <v>2.5</v>
      </c>
      <c r="H26" s="57">
        <f t="shared" si="12"/>
        <v>4.1666666666666664E-2</v>
      </c>
      <c r="J26" s="99" t="s">
        <v>77</v>
      </c>
      <c r="K26" s="99">
        <v>1</v>
      </c>
      <c r="L26" s="100">
        <v>12</v>
      </c>
      <c r="M26" s="60">
        <f t="shared" si="13"/>
        <v>12</v>
      </c>
      <c r="N26" s="99">
        <v>5</v>
      </c>
      <c r="O26" s="102">
        <v>0.1</v>
      </c>
      <c r="P26" s="56">
        <f t="shared" si="14"/>
        <v>2.16</v>
      </c>
      <c r="Q26" s="56">
        <f t="shared" si="15"/>
        <v>0.56100000000000005</v>
      </c>
    </row>
    <row r="27" spans="2:17" ht="17.25" customHeight="1" x14ac:dyDescent="0.3">
      <c r="B27" s="13" t="s">
        <v>152</v>
      </c>
      <c r="C27" s="15" t="s">
        <v>47</v>
      </c>
      <c r="D27" s="112">
        <v>8.5000000000000006E-2</v>
      </c>
      <c r="E27" s="56"/>
      <c r="F27" s="65">
        <f>SUM(F14:F26)/2*D27</f>
        <v>964.62122500000009</v>
      </c>
      <c r="G27" s="65">
        <f t="shared" si="11"/>
        <v>32.154040833333333</v>
      </c>
      <c r="H27" s="64">
        <f t="shared" si="12"/>
        <v>0.53590068055555562</v>
      </c>
      <c r="J27" s="99" t="s">
        <v>79</v>
      </c>
      <c r="K27" s="99">
        <v>1</v>
      </c>
      <c r="L27" s="100">
        <v>2800</v>
      </c>
      <c r="M27" s="60">
        <f t="shared" si="13"/>
        <v>2800</v>
      </c>
      <c r="N27" s="99">
        <v>5</v>
      </c>
      <c r="O27" s="102">
        <v>0.1</v>
      </c>
      <c r="P27" s="56">
        <f t="shared" si="14"/>
        <v>504</v>
      </c>
      <c r="Q27" s="56">
        <f t="shared" si="15"/>
        <v>130.9</v>
      </c>
    </row>
    <row r="28" spans="2:17" ht="17.25" customHeight="1" x14ac:dyDescent="0.3">
      <c r="B28" s="13"/>
      <c r="E28" s="58" t="s">
        <v>88</v>
      </c>
      <c r="F28" s="61">
        <f>SUM(F14:F27)</f>
        <v>23661.591225</v>
      </c>
      <c r="G28" s="61">
        <f>SUM(G14:G27)</f>
        <v>788.71970750000003</v>
      </c>
      <c r="H28" s="59">
        <f>SUM(H14:H27)</f>
        <v>13.145328458333335</v>
      </c>
      <c r="J28" s="99" t="s">
        <v>82</v>
      </c>
      <c r="K28" s="99">
        <v>1</v>
      </c>
      <c r="L28" s="100">
        <v>40</v>
      </c>
      <c r="M28" s="60">
        <f t="shared" si="13"/>
        <v>40</v>
      </c>
      <c r="N28" s="99">
        <v>5</v>
      </c>
      <c r="O28" s="102">
        <v>0.1</v>
      </c>
      <c r="P28" s="56">
        <f t="shared" si="14"/>
        <v>7.2</v>
      </c>
      <c r="Q28" s="56">
        <f t="shared" si="15"/>
        <v>1.87</v>
      </c>
    </row>
    <row r="29" spans="2:17" ht="17.25" customHeight="1" x14ac:dyDescent="0.3">
      <c r="B29" s="13"/>
      <c r="F29" s="27"/>
      <c r="G29" s="27"/>
      <c r="H29" s="16"/>
      <c r="J29" s="99" t="s">
        <v>84</v>
      </c>
      <c r="K29" s="99">
        <v>10</v>
      </c>
      <c r="L29" s="100">
        <v>40</v>
      </c>
      <c r="M29" s="60">
        <f t="shared" si="13"/>
        <v>400</v>
      </c>
      <c r="N29" s="99">
        <v>10</v>
      </c>
      <c r="O29" s="102">
        <v>0.1</v>
      </c>
      <c r="P29" s="56">
        <f t="shared" si="14"/>
        <v>36</v>
      </c>
      <c r="Q29" s="56">
        <f t="shared" si="15"/>
        <v>18.700000000000003</v>
      </c>
    </row>
    <row r="30" spans="2:17" ht="17.25" customHeight="1" x14ac:dyDescent="0.3">
      <c r="B30" s="38" t="s">
        <v>45</v>
      </c>
      <c r="C30" s="35"/>
      <c r="D30" s="40"/>
      <c r="E30" s="35"/>
      <c r="F30" s="41" t="s">
        <v>11</v>
      </c>
      <c r="G30" s="37" t="s">
        <v>23</v>
      </c>
      <c r="H30" s="39" t="s">
        <v>57</v>
      </c>
      <c r="J30" s="99" t="s">
        <v>131</v>
      </c>
      <c r="K30" s="99">
        <v>2</v>
      </c>
      <c r="L30" s="100">
        <v>200</v>
      </c>
      <c r="M30" s="60">
        <f>K30*L30</f>
        <v>400</v>
      </c>
      <c r="N30" s="99">
        <v>10</v>
      </c>
      <c r="O30" s="102">
        <v>0.1</v>
      </c>
      <c r="P30" s="56">
        <f>IF(M30&gt;0,(M30-(M30*O30))/N30,"")</f>
        <v>36</v>
      </c>
      <c r="Q30" s="56">
        <f t="shared" si="15"/>
        <v>18.700000000000003</v>
      </c>
    </row>
    <row r="31" spans="2:17" ht="17.25" customHeight="1" x14ac:dyDescent="0.3">
      <c r="B31" s="13" t="s">
        <v>46</v>
      </c>
      <c r="C31" s="15" t="s">
        <v>47</v>
      </c>
      <c r="D31" s="111">
        <v>8.5000000000000006E-2</v>
      </c>
      <c r="E31" s="3"/>
      <c r="F31" s="60">
        <f>'30 hives'!P37+'30 hives'!Q37</f>
        <v>3201.2318333333333</v>
      </c>
      <c r="G31" s="60">
        <f>F31/$C$3</f>
        <v>106.70772777777778</v>
      </c>
      <c r="H31" s="57">
        <f>F31/$D$7</f>
        <v>1.7784621296296297</v>
      </c>
      <c r="J31" s="99" t="s">
        <v>87</v>
      </c>
      <c r="K31" s="99">
        <v>1</v>
      </c>
      <c r="L31" s="100">
        <v>50</v>
      </c>
      <c r="M31" s="60">
        <f>K31*L31</f>
        <v>50</v>
      </c>
      <c r="N31" s="99">
        <v>5</v>
      </c>
      <c r="O31" s="102">
        <v>0.1</v>
      </c>
      <c r="P31" s="56">
        <f>IF(M31&gt;0,(M31-(M31*O31))/N31,"")</f>
        <v>9</v>
      </c>
      <c r="Q31" s="56">
        <f t="shared" si="15"/>
        <v>2.3375000000000004</v>
      </c>
    </row>
    <row r="32" spans="2:17" ht="17.25" customHeight="1" x14ac:dyDescent="0.3">
      <c r="B32" s="13" t="s">
        <v>48</v>
      </c>
      <c r="E32" s="3"/>
      <c r="F32" s="113">
        <v>300</v>
      </c>
      <c r="G32" s="65">
        <f>F32/$C$3</f>
        <v>10</v>
      </c>
      <c r="H32" s="64">
        <f>F32/$D$7</f>
        <v>0.16666666666666666</v>
      </c>
      <c r="M32" s="60"/>
    </row>
    <row r="33" spans="2:17" ht="17.25" customHeight="1" x14ac:dyDescent="0.3">
      <c r="B33" s="13"/>
      <c r="E33" s="24" t="s">
        <v>49</v>
      </c>
      <c r="F33" s="61">
        <f>SUM(F31:F32)</f>
        <v>3501.2318333333333</v>
      </c>
      <c r="G33" s="61">
        <f>SUM(G31:G32)</f>
        <v>116.70772777777778</v>
      </c>
      <c r="H33" s="59">
        <f>SUM(H31:H32)</f>
        <v>1.9451287962962964</v>
      </c>
      <c r="J33" s="125" t="s">
        <v>145</v>
      </c>
      <c r="M33" s="60"/>
    </row>
    <row r="34" spans="2:17" ht="17.25" customHeight="1" x14ac:dyDescent="0.3">
      <c r="B34" s="13"/>
      <c r="F34" s="60"/>
      <c r="G34" s="60"/>
      <c r="H34" s="57"/>
      <c r="J34" s="99" t="s">
        <v>142</v>
      </c>
      <c r="K34" s="99">
        <v>6</v>
      </c>
      <c r="L34" s="128">
        <v>10</v>
      </c>
      <c r="M34" s="60">
        <f>K34*L34</f>
        <v>60</v>
      </c>
      <c r="N34" s="14">
        <v>10</v>
      </c>
      <c r="O34" s="126">
        <v>0.1</v>
      </c>
      <c r="P34" s="56">
        <f>IF(M34&gt;0,(M34-(M34*O34))/N34,"")</f>
        <v>5.4</v>
      </c>
      <c r="Q34" s="56">
        <f>((M34+M34*O34)/2)*$D$31</f>
        <v>2.8050000000000002</v>
      </c>
    </row>
    <row r="35" spans="2:17" ht="17.25" customHeight="1" x14ac:dyDescent="0.3">
      <c r="B35" s="13"/>
      <c r="E35" s="24" t="s">
        <v>50</v>
      </c>
      <c r="F35" s="61">
        <f>F28+F33</f>
        <v>27162.823058333335</v>
      </c>
      <c r="G35" s="61">
        <f>G28+G33</f>
        <v>905.42743527777782</v>
      </c>
      <c r="H35" s="59">
        <f>H28+H33</f>
        <v>15.090457254629632</v>
      </c>
      <c r="J35" s="99" t="s">
        <v>143</v>
      </c>
      <c r="K35" s="99">
        <v>1</v>
      </c>
      <c r="L35" s="128">
        <v>20</v>
      </c>
      <c r="M35" s="60">
        <f t="shared" ref="M35" si="16">K35*L35</f>
        <v>20</v>
      </c>
      <c r="N35" s="14">
        <v>10</v>
      </c>
      <c r="O35" s="126">
        <v>0.1</v>
      </c>
      <c r="P35" s="56">
        <f>IF(M35&gt;0,(M35-(M35*O35))/N35,"")</f>
        <v>1.8</v>
      </c>
      <c r="Q35" s="56">
        <f>((M35+M35*O35)/2)*$D$31</f>
        <v>0.93500000000000005</v>
      </c>
    </row>
    <row r="36" spans="2:17" ht="17.25" customHeight="1" x14ac:dyDescent="0.3">
      <c r="B36" s="42"/>
      <c r="C36" s="43"/>
      <c r="D36" s="43"/>
      <c r="E36" s="131"/>
      <c r="F36" s="118"/>
      <c r="G36" s="118"/>
      <c r="H36" s="132"/>
      <c r="J36" s="99" t="s">
        <v>144</v>
      </c>
      <c r="K36" s="99">
        <v>6</v>
      </c>
      <c r="L36" s="128">
        <v>50</v>
      </c>
      <c r="M36" s="65">
        <f>K36*L36</f>
        <v>300</v>
      </c>
      <c r="N36" s="14">
        <v>10</v>
      </c>
      <c r="O36" s="126">
        <v>0.1</v>
      </c>
      <c r="P36" s="56">
        <f>IF(M36&gt;0,(M36-(M36*O36))/N36,"")</f>
        <v>27</v>
      </c>
      <c r="Q36" s="56">
        <f>((M36+M36*O36)/2)*$D$31</f>
        <v>14.025</v>
      </c>
    </row>
    <row r="37" spans="2:17" ht="17.25" customHeight="1" x14ac:dyDescent="0.3">
      <c r="B37" s="13"/>
      <c r="E37" s="24" t="s">
        <v>113</v>
      </c>
      <c r="F37" s="61">
        <f>F11-F28</f>
        <v>-4113.5912250000001</v>
      </c>
      <c r="G37" s="61">
        <f>G11-G28</f>
        <v>-137.1197075</v>
      </c>
      <c r="H37" s="59">
        <f>H11-H28</f>
        <v>-2.2853284583333355</v>
      </c>
      <c r="L37" s="24" t="s">
        <v>11</v>
      </c>
      <c r="M37" s="61">
        <f>SUM(M7:M36)</f>
        <v>22258</v>
      </c>
      <c r="N37" s="133"/>
      <c r="O37" s="133"/>
      <c r="P37" s="134">
        <f>SUM(P7:P36)</f>
        <v>2237.4933333333333</v>
      </c>
      <c r="Q37" s="134">
        <f>SUM(Q7:XFD36)</f>
        <v>963.73849999999993</v>
      </c>
    </row>
    <row r="38" spans="2:17" ht="17.25" customHeight="1" x14ac:dyDescent="0.3">
      <c r="B38" s="13"/>
      <c r="E38" s="24" t="s">
        <v>116</v>
      </c>
      <c r="F38" s="61">
        <f>F37+F15+F16</f>
        <v>9886.4087749999999</v>
      </c>
      <c r="G38" s="61">
        <f>G37+G15+G16</f>
        <v>329.54695916666662</v>
      </c>
      <c r="H38" s="59">
        <f>H37+H15+H16</f>
        <v>5.492449319444443</v>
      </c>
    </row>
    <row r="39" spans="2:17" ht="17.25" customHeight="1" x14ac:dyDescent="0.3">
      <c r="B39" s="13"/>
      <c r="E39" s="24" t="s">
        <v>114</v>
      </c>
      <c r="F39" s="61">
        <f>F11-F28-F33</f>
        <v>-7614.8230583333334</v>
      </c>
      <c r="G39" s="61">
        <f>G11-G28-G33</f>
        <v>-253.82743527777779</v>
      </c>
      <c r="H39" s="59">
        <f>H11-H28-H33</f>
        <v>-4.2304572546296324</v>
      </c>
    </row>
    <row r="40" spans="2:17" ht="17.25" customHeight="1" thickBot="1" x14ac:dyDescent="0.35">
      <c r="B40" s="30"/>
      <c r="C40" s="4"/>
      <c r="D40" s="4"/>
      <c r="E40" s="5" t="s">
        <v>115</v>
      </c>
      <c r="F40" s="67">
        <f>F39+F15+F16</f>
        <v>6385.1769416666666</v>
      </c>
      <c r="G40" s="67">
        <f>G39+G15+G16</f>
        <v>212.83923138888886</v>
      </c>
      <c r="H40" s="68">
        <f>H39+H15+H16</f>
        <v>3.5473205231481457</v>
      </c>
    </row>
    <row r="41" spans="2:17" ht="17.25" customHeight="1" x14ac:dyDescent="0.3"/>
    <row r="42" spans="2:17" ht="17.25" hidden="1" customHeight="1" x14ac:dyDescent="0.3">
      <c r="D42" s="3"/>
    </row>
    <row r="43" spans="2:17" ht="17.25" hidden="1" customHeight="1" x14ac:dyDescent="0.3"/>
    <row r="46" spans="2:17" hidden="1" x14ac:dyDescent="0.3">
      <c r="L46" s="3"/>
    </row>
    <row r="47" spans="2:17" ht="5.25" customHeight="1" x14ac:dyDescent="0.3"/>
    <row r="49" s="1" customFormat="1" hidden="1" x14ac:dyDescent="0.3"/>
    <row r="50" s="1" customFormat="1" hidden="1" x14ac:dyDescent="0.3"/>
    <row r="51" s="1" customFormat="1" hidden="1" x14ac:dyDescent="0.3"/>
    <row r="52" s="1" customFormat="1" hidden="1" x14ac:dyDescent="0.3"/>
    <row r="53" s="1" customFormat="1" hidden="1" x14ac:dyDescent="0.3"/>
    <row r="54" s="1" customFormat="1" hidden="1" x14ac:dyDescent="0.3"/>
    <row r="55" s="1" customFormat="1" hidden="1" x14ac:dyDescent="0.3"/>
    <row r="56" s="1" customFormat="1" hidden="1" x14ac:dyDescent="0.3"/>
    <row r="57" s="1" customFormat="1" hidden="1" x14ac:dyDescent="0.3"/>
    <row r="58" s="1" customFormat="1" hidden="1" x14ac:dyDescent="0.3"/>
    <row r="59" s="1" customFormat="1" hidden="1" x14ac:dyDescent="0.3"/>
    <row r="60" s="1" customFormat="1" hidden="1" x14ac:dyDescent="0.3"/>
    <row r="61" s="1" customFormat="1" hidden="1" x14ac:dyDescent="0.3"/>
    <row r="62" s="1" customFormat="1" hidden="1" x14ac:dyDescent="0.3"/>
    <row r="63" s="1" customFormat="1" hidden="1" x14ac:dyDescent="0.3"/>
    <row r="64" s="1" customFormat="1" hidden="1" x14ac:dyDescent="0.3"/>
    <row r="65" s="1" customFormat="1" hidden="1" x14ac:dyDescent="0.3"/>
  </sheetData>
  <sheetProtection sheet="1" objects="1" scenarios="1"/>
  <mergeCells count="1">
    <mergeCell ref="B1:H1"/>
  </mergeCells>
  <phoneticPr fontId="7" type="noConversion"/>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6296A-2A3E-49D9-ABDA-FADA7C475BA4}">
  <sheetPr codeName="Sheet6"/>
  <dimension ref="B1:P47"/>
  <sheetViews>
    <sheetView zoomScale="85" zoomScaleNormal="85" workbookViewId="0">
      <selection activeCell="I30" sqref="I30"/>
    </sheetView>
  </sheetViews>
  <sheetFormatPr defaultColWidth="9" defaultRowHeight="16.5" x14ac:dyDescent="0.3"/>
  <cols>
    <col min="1" max="1" width="3.25" style="1" customWidth="1"/>
    <col min="2" max="2" width="42.75" style="1" customWidth="1"/>
    <col min="3" max="3" width="9.875" style="1" customWidth="1"/>
    <col min="4" max="4" width="10.375" style="1" customWidth="1"/>
    <col min="5" max="5" width="10.625" style="1" customWidth="1"/>
    <col min="6" max="7" width="11.375" style="1" customWidth="1"/>
    <col min="8" max="8" width="9" style="1" customWidth="1"/>
    <col min="9" max="9" width="33" style="1" customWidth="1"/>
    <col min="10" max="11" width="9" style="1"/>
    <col min="12" max="12" width="11.375" style="1" customWidth="1"/>
    <col min="13" max="14" width="9" style="1"/>
    <col min="15" max="15" width="13" style="1" customWidth="1"/>
    <col min="16" max="16384" width="9" style="1"/>
  </cols>
  <sheetData>
    <row r="1" spans="2:16" ht="20.25" x14ac:dyDescent="0.35">
      <c r="B1" s="154" t="s">
        <v>4</v>
      </c>
      <c r="C1" s="155"/>
      <c r="D1" s="155"/>
      <c r="E1" s="155"/>
      <c r="F1" s="155"/>
      <c r="G1" s="155"/>
    </row>
    <row r="2" spans="2:16" ht="17.25" customHeight="1" x14ac:dyDescent="0.35">
      <c r="B2" s="10"/>
      <c r="C2" s="11"/>
      <c r="D2" s="11"/>
      <c r="E2" s="11"/>
      <c r="F2" s="11"/>
      <c r="G2" s="73"/>
      <c r="I2" s="51" t="s">
        <v>5</v>
      </c>
      <c r="J2" s="51"/>
      <c r="K2" s="51"/>
      <c r="L2" s="51"/>
      <c r="M2" s="51"/>
      <c r="N2" s="51"/>
      <c r="O2" s="51"/>
      <c r="P2" s="43"/>
    </row>
    <row r="3" spans="2:16" ht="17.25" customHeight="1" x14ac:dyDescent="0.3">
      <c r="B3" s="13" t="s">
        <v>6</v>
      </c>
      <c r="C3" s="14">
        <v>2</v>
      </c>
      <c r="D3" s="15" t="s">
        <v>7</v>
      </c>
      <c r="G3" s="74"/>
      <c r="I3" s="47" t="s">
        <v>8</v>
      </c>
      <c r="J3" s="47" t="s">
        <v>9</v>
      </c>
      <c r="K3" s="52" t="s">
        <v>10</v>
      </c>
      <c r="L3" s="31" t="s">
        <v>11</v>
      </c>
      <c r="M3" s="31" t="s">
        <v>12</v>
      </c>
      <c r="N3" s="31" t="s">
        <v>13</v>
      </c>
      <c r="O3" s="31" t="s">
        <v>14</v>
      </c>
      <c r="P3" s="31" t="s">
        <v>15</v>
      </c>
    </row>
    <row r="4" spans="2:16" ht="17.25" customHeight="1" x14ac:dyDescent="0.3">
      <c r="B4" s="34"/>
      <c r="C4" s="2"/>
      <c r="G4" s="74"/>
      <c r="I4" s="48"/>
      <c r="J4" s="32" t="s">
        <v>16</v>
      </c>
      <c r="K4" s="32" t="s">
        <v>17</v>
      </c>
      <c r="L4" s="32" t="s">
        <v>17</v>
      </c>
      <c r="M4" s="32" t="s">
        <v>18</v>
      </c>
      <c r="N4" s="32" t="s">
        <v>19</v>
      </c>
      <c r="O4" s="32" t="s">
        <v>17</v>
      </c>
      <c r="P4" s="32" t="s">
        <v>17</v>
      </c>
    </row>
    <row r="5" spans="2:16" ht="17.25" customHeight="1" x14ac:dyDescent="0.3">
      <c r="B5" s="38" t="s">
        <v>20</v>
      </c>
      <c r="C5" s="36" t="s">
        <v>21</v>
      </c>
      <c r="D5" s="37" t="s">
        <v>9</v>
      </c>
      <c r="E5" s="37" t="s">
        <v>22</v>
      </c>
      <c r="F5" s="37" t="s">
        <v>11</v>
      </c>
      <c r="G5" s="75" t="s">
        <v>23</v>
      </c>
      <c r="I5" s="70" t="s">
        <v>24</v>
      </c>
      <c r="J5" s="32"/>
      <c r="K5" s="32"/>
      <c r="L5" s="32"/>
      <c r="M5" s="32"/>
      <c r="N5" s="32"/>
      <c r="O5" s="32"/>
      <c r="P5" s="32"/>
    </row>
    <row r="6" spans="2:16" ht="17.25" customHeight="1" x14ac:dyDescent="0.3">
      <c r="B6" s="13" t="s">
        <v>91</v>
      </c>
      <c r="C6" s="15" t="s">
        <v>26</v>
      </c>
      <c r="D6" s="19">
        <v>50</v>
      </c>
      <c r="E6" s="55">
        <v>0.75</v>
      </c>
      <c r="F6" s="60">
        <f t="shared" ref="F6:F11" si="0">D6*E6</f>
        <v>37.5</v>
      </c>
      <c r="G6" s="76">
        <f t="shared" ref="G6:G11" si="1">F6/$C$3</f>
        <v>18.75</v>
      </c>
      <c r="I6" s="14" t="s">
        <v>92</v>
      </c>
      <c r="J6" s="14">
        <v>2</v>
      </c>
      <c r="K6" s="55">
        <v>205</v>
      </c>
      <c r="L6" s="56">
        <f>J6*K6</f>
        <v>410</v>
      </c>
      <c r="M6" s="14">
        <v>10</v>
      </c>
      <c r="N6" s="33">
        <v>0</v>
      </c>
      <c r="O6" s="56">
        <f>IF(L6&gt;0,(L6-(L6*N6))/M6,"")</f>
        <v>41</v>
      </c>
      <c r="P6" s="56">
        <f t="shared" ref="P6:P13" si="2">((L6+L6*N6)/2)*$D$28</f>
        <v>18.45</v>
      </c>
    </row>
    <row r="7" spans="2:16" ht="17.100000000000001" customHeight="1" x14ac:dyDescent="0.3">
      <c r="B7" s="13" t="s">
        <v>93</v>
      </c>
      <c r="C7" s="15" t="s">
        <v>26</v>
      </c>
      <c r="D7" s="19">
        <v>40</v>
      </c>
      <c r="E7" s="55">
        <v>2.5</v>
      </c>
      <c r="F7" s="60">
        <f t="shared" si="0"/>
        <v>100</v>
      </c>
      <c r="G7" s="76">
        <f t="shared" si="1"/>
        <v>50</v>
      </c>
      <c r="I7" s="14" t="s">
        <v>28</v>
      </c>
      <c r="J7" s="14">
        <v>2</v>
      </c>
      <c r="K7" s="55">
        <v>85</v>
      </c>
      <c r="L7" s="56">
        <f t="shared" ref="L7:L13" si="3">J7*K7</f>
        <v>170</v>
      </c>
      <c r="M7" s="14">
        <v>10</v>
      </c>
      <c r="N7" s="33">
        <v>0</v>
      </c>
      <c r="O7" s="56">
        <f t="shared" ref="O7:O13" si="4">IF(L7&gt;0,(L7-(L7*N7))/M7,"")</f>
        <v>17</v>
      </c>
      <c r="P7" s="56">
        <f t="shared" si="2"/>
        <v>7.6499999999999995</v>
      </c>
    </row>
    <row r="8" spans="2:16" ht="17.25" customHeight="1" x14ac:dyDescent="0.3">
      <c r="B8" s="13" t="s">
        <v>29</v>
      </c>
      <c r="C8" s="15" t="s">
        <v>26</v>
      </c>
      <c r="D8" s="19">
        <v>5</v>
      </c>
      <c r="E8" s="55">
        <v>1.65</v>
      </c>
      <c r="F8" s="60">
        <f t="shared" si="0"/>
        <v>8.25</v>
      </c>
      <c r="G8" s="76">
        <f t="shared" si="1"/>
        <v>4.125</v>
      </c>
      <c r="I8" s="14" t="s">
        <v>30</v>
      </c>
      <c r="J8" s="14">
        <v>2</v>
      </c>
      <c r="K8" s="55">
        <v>12</v>
      </c>
      <c r="L8" s="56">
        <f t="shared" si="3"/>
        <v>24</v>
      </c>
      <c r="M8" s="14">
        <v>10</v>
      </c>
      <c r="N8" s="33">
        <v>0</v>
      </c>
      <c r="O8" s="56">
        <f t="shared" si="4"/>
        <v>2.4</v>
      </c>
      <c r="P8" s="56">
        <f t="shared" si="2"/>
        <v>1.08</v>
      </c>
    </row>
    <row r="9" spans="2:16" ht="17.25" customHeight="1" x14ac:dyDescent="0.3">
      <c r="B9" s="13" t="s">
        <v>94</v>
      </c>
      <c r="C9" s="15" t="s">
        <v>31</v>
      </c>
      <c r="D9" s="19">
        <v>2</v>
      </c>
      <c r="E9" s="55">
        <v>21.5</v>
      </c>
      <c r="F9" s="60">
        <f t="shared" si="0"/>
        <v>43</v>
      </c>
      <c r="G9" s="76">
        <f t="shared" si="1"/>
        <v>21.5</v>
      </c>
      <c r="I9" s="14" t="s">
        <v>32</v>
      </c>
      <c r="J9" s="14">
        <v>1</v>
      </c>
      <c r="K9" s="55">
        <v>35</v>
      </c>
      <c r="L9" s="56">
        <f t="shared" si="3"/>
        <v>35</v>
      </c>
      <c r="M9" s="14">
        <v>10</v>
      </c>
      <c r="N9" s="33">
        <v>0</v>
      </c>
      <c r="O9" s="56">
        <f t="shared" si="4"/>
        <v>3.5</v>
      </c>
      <c r="P9" s="56">
        <f t="shared" si="2"/>
        <v>1.575</v>
      </c>
    </row>
    <row r="10" spans="2:16" ht="17.25" customHeight="1" x14ac:dyDescent="0.3">
      <c r="B10" s="13" t="s">
        <v>33</v>
      </c>
      <c r="C10" s="15" t="s">
        <v>34</v>
      </c>
      <c r="D10" s="19">
        <v>30</v>
      </c>
      <c r="E10" s="55">
        <v>3.5</v>
      </c>
      <c r="F10" s="60">
        <f t="shared" si="0"/>
        <v>105</v>
      </c>
      <c r="G10" s="76">
        <f t="shared" si="1"/>
        <v>52.5</v>
      </c>
      <c r="I10" s="14" t="s">
        <v>35</v>
      </c>
      <c r="J10" s="14">
        <v>2</v>
      </c>
      <c r="K10" s="55">
        <v>9</v>
      </c>
      <c r="L10" s="56">
        <f t="shared" si="3"/>
        <v>18</v>
      </c>
      <c r="M10" s="14">
        <v>10</v>
      </c>
      <c r="N10" s="33">
        <v>0</v>
      </c>
      <c r="O10" s="56">
        <f>IF(L10&gt;0,(L10-(L10*N10))/M10,"")</f>
        <v>1.8</v>
      </c>
      <c r="P10" s="56">
        <f t="shared" si="2"/>
        <v>0.80999999999999994</v>
      </c>
    </row>
    <row r="11" spans="2:16" ht="17.25" customHeight="1" x14ac:dyDescent="0.3">
      <c r="B11" s="13" t="s">
        <v>36</v>
      </c>
      <c r="C11" s="15" t="s">
        <v>37</v>
      </c>
      <c r="D11" s="19">
        <v>40</v>
      </c>
      <c r="E11" s="55">
        <v>18.66</v>
      </c>
      <c r="F11" s="60">
        <f t="shared" si="0"/>
        <v>746.4</v>
      </c>
      <c r="G11" s="76">
        <f t="shared" si="1"/>
        <v>373.2</v>
      </c>
      <c r="I11" s="14" t="s">
        <v>38</v>
      </c>
      <c r="J11" s="14">
        <v>1</v>
      </c>
      <c r="K11" s="55">
        <v>13</v>
      </c>
      <c r="L11" s="56">
        <f t="shared" si="3"/>
        <v>13</v>
      </c>
      <c r="M11" s="14">
        <v>10</v>
      </c>
      <c r="N11" s="33">
        <v>0</v>
      </c>
      <c r="O11" s="56">
        <f t="shared" si="4"/>
        <v>1.3</v>
      </c>
      <c r="P11" s="56">
        <f t="shared" si="2"/>
        <v>0.58499999999999996</v>
      </c>
    </row>
    <row r="12" spans="2:16" ht="17.25" customHeight="1" x14ac:dyDescent="0.3">
      <c r="B12" s="13"/>
      <c r="C12" s="15"/>
      <c r="D12" s="19"/>
      <c r="E12" s="55"/>
      <c r="F12" s="60"/>
      <c r="G12" s="76"/>
      <c r="I12" s="14" t="s">
        <v>41</v>
      </c>
      <c r="J12" s="14">
        <v>1</v>
      </c>
      <c r="K12" s="55">
        <v>140</v>
      </c>
      <c r="L12" s="56">
        <f t="shared" si="3"/>
        <v>140</v>
      </c>
      <c r="M12" s="14">
        <v>10</v>
      </c>
      <c r="N12" s="33">
        <v>0</v>
      </c>
      <c r="O12" s="56">
        <f t="shared" si="4"/>
        <v>14</v>
      </c>
      <c r="P12" s="56">
        <f t="shared" si="2"/>
        <v>6.3</v>
      </c>
    </row>
    <row r="13" spans="2:16" ht="17.25" customHeight="1" x14ac:dyDescent="0.3">
      <c r="B13" s="22" t="s">
        <v>44</v>
      </c>
      <c r="C13" s="77"/>
      <c r="D13" s="77"/>
      <c r="E13" s="78"/>
      <c r="F13" s="79">
        <f>SUM(F6:F12)</f>
        <v>1040.1500000000001</v>
      </c>
      <c r="G13" s="80">
        <f>SUM(G6:G12)</f>
        <v>520.07500000000005</v>
      </c>
      <c r="I13" s="14" t="s">
        <v>43</v>
      </c>
      <c r="J13" s="14">
        <v>1</v>
      </c>
      <c r="K13" s="55">
        <v>50</v>
      </c>
      <c r="L13" s="56">
        <f t="shared" si="3"/>
        <v>50</v>
      </c>
      <c r="M13" s="14">
        <v>10</v>
      </c>
      <c r="N13" s="33">
        <v>0</v>
      </c>
      <c r="O13" s="56">
        <f t="shared" si="4"/>
        <v>5</v>
      </c>
      <c r="P13" s="56">
        <f t="shared" si="2"/>
        <v>2.25</v>
      </c>
    </row>
    <row r="14" spans="2:16" ht="17.25" customHeight="1" x14ac:dyDescent="0.3">
      <c r="B14" s="13"/>
      <c r="C14" s="17"/>
      <c r="D14" s="19"/>
      <c r="E14" s="55"/>
      <c r="F14" s="60"/>
      <c r="G14" s="76"/>
      <c r="I14" s="14"/>
      <c r="J14" s="14"/>
      <c r="K14" s="55"/>
      <c r="L14" s="56"/>
      <c r="M14" s="14"/>
      <c r="N14" s="33"/>
      <c r="O14" s="56"/>
      <c r="P14" s="56"/>
    </row>
    <row r="15" spans="2:16" ht="17.25" customHeight="1" x14ac:dyDescent="0.3">
      <c r="B15" s="38" t="s">
        <v>45</v>
      </c>
      <c r="C15" s="36" t="s">
        <v>21</v>
      </c>
      <c r="D15" s="37" t="s">
        <v>9</v>
      </c>
      <c r="E15" s="37" t="s">
        <v>22</v>
      </c>
      <c r="F15" s="37" t="s">
        <v>11</v>
      </c>
      <c r="G15" s="75" t="s">
        <v>23</v>
      </c>
      <c r="I15" s="14"/>
      <c r="J15" s="14"/>
      <c r="K15" s="81" t="s">
        <v>11</v>
      </c>
      <c r="L15" s="82">
        <f>SUM(L6:L14)</f>
        <v>860</v>
      </c>
      <c r="M15" s="83"/>
      <c r="N15" s="84"/>
      <c r="O15" s="82">
        <f>SUM(O6:O14)</f>
        <v>86</v>
      </c>
      <c r="P15" s="82">
        <f>SUM(P6:P14)</f>
        <v>38.699999999999996</v>
      </c>
    </row>
    <row r="16" spans="2:16" ht="17.25" customHeight="1" x14ac:dyDescent="0.3">
      <c r="B16" s="13" t="s">
        <v>38</v>
      </c>
      <c r="C16" s="15" t="s">
        <v>61</v>
      </c>
      <c r="D16" s="23">
        <v>1</v>
      </c>
      <c r="E16" s="55">
        <v>13</v>
      </c>
      <c r="F16" s="60">
        <f>D16*E16</f>
        <v>13</v>
      </c>
      <c r="G16" s="76">
        <f t="shared" ref="G16:G27" si="5">F16/$C$3</f>
        <v>6.5</v>
      </c>
    </row>
    <row r="17" spans="2:16" ht="17.25" customHeight="1" x14ac:dyDescent="0.3">
      <c r="B17" s="13" t="s">
        <v>43</v>
      </c>
      <c r="C17" s="15" t="s">
        <v>61</v>
      </c>
      <c r="D17" s="14">
        <v>1</v>
      </c>
      <c r="E17" s="55">
        <v>50</v>
      </c>
      <c r="F17" s="60">
        <f t="shared" ref="F17:F26" si="6">D17*E17</f>
        <v>50</v>
      </c>
      <c r="G17" s="76">
        <f t="shared" si="5"/>
        <v>25</v>
      </c>
    </row>
    <row r="18" spans="2:16" ht="17.25" customHeight="1" x14ac:dyDescent="0.3">
      <c r="B18" s="13" t="s">
        <v>95</v>
      </c>
      <c r="C18" s="15" t="s">
        <v>61</v>
      </c>
      <c r="D18" s="14">
        <v>1</v>
      </c>
      <c r="E18" s="55">
        <v>120</v>
      </c>
      <c r="F18" s="60">
        <f t="shared" si="6"/>
        <v>120</v>
      </c>
      <c r="G18" s="76">
        <f t="shared" si="5"/>
        <v>60</v>
      </c>
    </row>
    <row r="19" spans="2:16" ht="17.25" customHeight="1" x14ac:dyDescent="0.3">
      <c r="B19" s="13" t="s">
        <v>96</v>
      </c>
      <c r="C19" s="15" t="s">
        <v>61</v>
      </c>
      <c r="D19" s="14">
        <v>4</v>
      </c>
      <c r="E19" s="55">
        <v>70</v>
      </c>
      <c r="F19" s="60">
        <f t="shared" si="6"/>
        <v>280</v>
      </c>
      <c r="G19" s="76">
        <f t="shared" si="5"/>
        <v>140</v>
      </c>
    </row>
    <row r="20" spans="2:16" ht="17.25" customHeight="1" x14ac:dyDescent="0.3">
      <c r="B20" s="13" t="s">
        <v>97</v>
      </c>
      <c r="C20" s="15" t="s">
        <v>61</v>
      </c>
      <c r="D20" s="14">
        <v>2</v>
      </c>
      <c r="E20" s="55">
        <v>65</v>
      </c>
      <c r="F20" s="60">
        <f t="shared" si="6"/>
        <v>130</v>
      </c>
      <c r="G20" s="76">
        <f t="shared" si="5"/>
        <v>65</v>
      </c>
    </row>
    <row r="21" spans="2:16" ht="17.25" customHeight="1" x14ac:dyDescent="0.3">
      <c r="B21" s="13" t="s">
        <v>98</v>
      </c>
      <c r="C21" s="15" t="s">
        <v>61</v>
      </c>
      <c r="D21" s="14">
        <v>1</v>
      </c>
      <c r="E21" s="55">
        <v>40</v>
      </c>
      <c r="F21" s="60">
        <f t="shared" si="6"/>
        <v>40</v>
      </c>
      <c r="G21" s="76">
        <f t="shared" si="5"/>
        <v>20</v>
      </c>
    </row>
    <row r="22" spans="2:16" ht="17.25" customHeight="1" x14ac:dyDescent="0.3">
      <c r="B22" s="13" t="s">
        <v>99</v>
      </c>
      <c r="C22" s="15" t="s">
        <v>61</v>
      </c>
      <c r="D22" s="14">
        <v>1</v>
      </c>
      <c r="E22" s="55">
        <v>45</v>
      </c>
      <c r="F22" s="60">
        <f t="shared" si="6"/>
        <v>45</v>
      </c>
      <c r="G22" s="76">
        <f t="shared" si="5"/>
        <v>22.5</v>
      </c>
      <c r="I22" s="1">
        <f>101/40</f>
        <v>2.5249999999999999</v>
      </c>
    </row>
    <row r="23" spans="2:16" ht="17.25" customHeight="1" x14ac:dyDescent="0.3">
      <c r="B23" s="13" t="s">
        <v>100</v>
      </c>
      <c r="C23" s="15" t="s">
        <v>61</v>
      </c>
      <c r="D23" s="14">
        <v>2</v>
      </c>
      <c r="E23" s="55">
        <v>9</v>
      </c>
      <c r="F23" s="60">
        <f t="shared" si="6"/>
        <v>18</v>
      </c>
      <c r="G23" s="76">
        <f t="shared" si="5"/>
        <v>9</v>
      </c>
      <c r="I23" s="1">
        <f>8.25/5</f>
        <v>1.65</v>
      </c>
    </row>
    <row r="24" spans="2:16" ht="17.25" customHeight="1" x14ac:dyDescent="0.3">
      <c r="B24" s="13" t="s">
        <v>30</v>
      </c>
      <c r="C24" s="15" t="s">
        <v>61</v>
      </c>
      <c r="D24" s="14">
        <v>2</v>
      </c>
      <c r="E24" s="55">
        <v>12</v>
      </c>
      <c r="F24" s="60">
        <f t="shared" si="6"/>
        <v>24</v>
      </c>
      <c r="G24" s="76">
        <f t="shared" si="5"/>
        <v>12</v>
      </c>
    </row>
    <row r="25" spans="2:16" ht="17.25" customHeight="1" x14ac:dyDescent="0.3">
      <c r="B25" s="13" t="s">
        <v>101</v>
      </c>
      <c r="C25" s="15" t="s">
        <v>61</v>
      </c>
      <c r="D25" s="14">
        <v>4</v>
      </c>
      <c r="E25" s="55">
        <v>4</v>
      </c>
      <c r="F25" s="60">
        <f t="shared" si="6"/>
        <v>16</v>
      </c>
      <c r="G25" s="76">
        <f t="shared" si="5"/>
        <v>8</v>
      </c>
    </row>
    <row r="26" spans="2:16" ht="17.25" customHeight="1" x14ac:dyDescent="0.3">
      <c r="B26" s="13" t="s">
        <v>102</v>
      </c>
      <c r="C26" s="15" t="s">
        <v>103</v>
      </c>
      <c r="D26" s="14">
        <v>1</v>
      </c>
      <c r="E26" s="55">
        <v>35</v>
      </c>
      <c r="F26" s="60">
        <f t="shared" si="6"/>
        <v>35</v>
      </c>
      <c r="G26" s="76">
        <f t="shared" si="5"/>
        <v>17.5</v>
      </c>
    </row>
    <row r="27" spans="2:16" ht="17.25" customHeight="1" x14ac:dyDescent="0.3">
      <c r="B27" s="13" t="s">
        <v>104</v>
      </c>
      <c r="C27" s="15" t="s">
        <v>105</v>
      </c>
      <c r="D27" s="14">
        <v>1</v>
      </c>
      <c r="E27" s="55">
        <v>20</v>
      </c>
      <c r="F27" s="60">
        <f>D27*E27</f>
        <v>20</v>
      </c>
      <c r="G27" s="76">
        <f t="shared" si="5"/>
        <v>10</v>
      </c>
    </row>
    <row r="28" spans="2:16" ht="17.25" customHeight="1" x14ac:dyDescent="0.3">
      <c r="B28" s="13" t="s">
        <v>46</v>
      </c>
      <c r="C28" s="15" t="s">
        <v>47</v>
      </c>
      <c r="D28" s="89">
        <v>0.09</v>
      </c>
      <c r="E28" s="55"/>
      <c r="F28" s="60"/>
      <c r="G28" s="76"/>
      <c r="K28" s="56"/>
      <c r="L28" s="56"/>
      <c r="N28" s="71"/>
      <c r="O28" s="56"/>
      <c r="P28" s="56"/>
    </row>
    <row r="29" spans="2:16" ht="17.25" customHeight="1" x14ac:dyDescent="0.3">
      <c r="B29" s="13" t="s">
        <v>48</v>
      </c>
      <c r="C29" s="15"/>
      <c r="D29" s="9"/>
      <c r="E29" s="56"/>
      <c r="F29" s="60"/>
      <c r="G29" s="76"/>
    </row>
    <row r="30" spans="2:16" ht="17.25" customHeight="1" x14ac:dyDescent="0.3">
      <c r="B30" s="22" t="s">
        <v>49</v>
      </c>
      <c r="C30" s="92"/>
      <c r="D30" s="93"/>
      <c r="E30" s="94"/>
      <c r="F30" s="95">
        <f>SUM(F16:F29)</f>
        <v>791</v>
      </c>
      <c r="G30" s="96">
        <f>SUM(G16:G29)</f>
        <v>395.5</v>
      </c>
    </row>
    <row r="31" spans="2:16" ht="17.25" customHeight="1" x14ac:dyDescent="0.3">
      <c r="B31" s="85"/>
      <c r="C31" s="86"/>
      <c r="D31" s="90"/>
      <c r="E31" s="91"/>
      <c r="F31" s="87"/>
      <c r="G31" s="88"/>
    </row>
    <row r="32" spans="2:16" ht="17.25" customHeight="1" thickBot="1" x14ac:dyDescent="0.35">
      <c r="B32" s="30"/>
      <c r="C32" s="4"/>
      <c r="D32" s="4"/>
      <c r="E32" s="5" t="s">
        <v>50</v>
      </c>
      <c r="F32" s="97">
        <f>F11+F30</f>
        <v>1537.4</v>
      </c>
      <c r="G32" s="98">
        <f>G11+G30</f>
        <v>768.7</v>
      </c>
    </row>
    <row r="33" spans="4:11" ht="17.25" customHeight="1" x14ac:dyDescent="0.3"/>
    <row r="34" spans="4:11" ht="17.25" customHeight="1" x14ac:dyDescent="0.3"/>
    <row r="35" spans="4:11" ht="17.25" customHeight="1" x14ac:dyDescent="0.3">
      <c r="E35" s="3"/>
    </row>
    <row r="36" spans="4:11" ht="17.25" customHeight="1" x14ac:dyDescent="0.3">
      <c r="D36" s="3"/>
    </row>
    <row r="37" spans="4:11" ht="17.25" customHeight="1" x14ac:dyDescent="0.3"/>
    <row r="38" spans="4:11" ht="17.25" customHeight="1" x14ac:dyDescent="0.3"/>
    <row r="39" spans="4:11" ht="17.25" customHeight="1" x14ac:dyDescent="0.3"/>
    <row r="40" spans="4:11" ht="17.25" customHeight="1" x14ac:dyDescent="0.3"/>
    <row r="41" spans="4:11" ht="17.25" customHeight="1" x14ac:dyDescent="0.3"/>
    <row r="42" spans="4:11" ht="17.25" customHeight="1" x14ac:dyDescent="0.3"/>
    <row r="43" spans="4:11" ht="17.25" customHeight="1" x14ac:dyDescent="0.3"/>
    <row r="47" spans="4:11" x14ac:dyDescent="0.3">
      <c r="K47" s="3"/>
    </row>
  </sheetData>
  <mergeCells count="1">
    <mergeCell ref="B1:G1"/>
  </mergeCell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978A68-A28B-4434-9713-F041C8463033}">
  <sheetPr codeName="Sheet5"/>
  <dimension ref="B1:Q44"/>
  <sheetViews>
    <sheetView topLeftCell="B1" zoomScale="70" zoomScaleNormal="70" workbookViewId="0">
      <selection activeCell="F44" sqref="F44"/>
    </sheetView>
  </sheetViews>
  <sheetFormatPr defaultColWidth="9" defaultRowHeight="16.5" x14ac:dyDescent="0.3"/>
  <cols>
    <col min="1" max="1" width="3.25" style="1" customWidth="1"/>
    <col min="2" max="2" width="42.75" style="1" customWidth="1"/>
    <col min="3" max="3" width="9.875" style="1" customWidth="1"/>
    <col min="4" max="4" width="10.375" style="1" customWidth="1"/>
    <col min="5" max="5" width="10.625" style="1" customWidth="1"/>
    <col min="6" max="7" width="11.375" style="1" customWidth="1"/>
    <col min="8" max="9" width="9" style="1"/>
    <col min="10" max="10" width="33" style="1" customWidth="1"/>
    <col min="11" max="12" width="9" style="1"/>
    <col min="13" max="13" width="11.375" style="1" customWidth="1"/>
    <col min="14" max="15" width="9" style="1"/>
    <col min="16" max="16" width="13" style="1" customWidth="1"/>
    <col min="17" max="16384" width="9" style="1"/>
  </cols>
  <sheetData>
    <row r="1" spans="2:17" ht="20.25" x14ac:dyDescent="0.35">
      <c r="B1" s="154" t="s">
        <v>106</v>
      </c>
      <c r="C1" s="155"/>
      <c r="D1" s="155"/>
      <c r="E1" s="155"/>
      <c r="F1" s="155"/>
      <c r="G1" s="155"/>
      <c r="H1" s="156"/>
    </row>
    <row r="2" spans="2:17" ht="17.25" customHeight="1" x14ac:dyDescent="0.35">
      <c r="B2" s="10"/>
      <c r="C2" s="11"/>
      <c r="D2" s="11"/>
      <c r="E2" s="11"/>
      <c r="F2" s="11"/>
      <c r="G2" s="11"/>
      <c r="H2" s="12"/>
      <c r="J2" s="51" t="s">
        <v>5</v>
      </c>
      <c r="K2" s="51"/>
      <c r="L2" s="51"/>
      <c r="M2" s="51"/>
      <c r="N2" s="51"/>
      <c r="O2" s="51"/>
      <c r="P2" s="51"/>
      <c r="Q2" s="43"/>
    </row>
    <row r="3" spans="2:17" ht="17.25" customHeight="1" x14ac:dyDescent="0.3">
      <c r="B3" s="13" t="s">
        <v>6</v>
      </c>
      <c r="C3" s="14">
        <v>10</v>
      </c>
      <c r="D3" s="15" t="s">
        <v>7</v>
      </c>
      <c r="H3" s="16"/>
      <c r="J3" s="47" t="s">
        <v>8</v>
      </c>
      <c r="K3" s="47" t="s">
        <v>9</v>
      </c>
      <c r="L3" s="52" t="s">
        <v>10</v>
      </c>
      <c r="M3" s="31" t="s">
        <v>11</v>
      </c>
      <c r="N3" s="31" t="s">
        <v>12</v>
      </c>
      <c r="O3" s="31" t="s">
        <v>13</v>
      </c>
      <c r="P3" s="31" t="s">
        <v>14</v>
      </c>
      <c r="Q3" s="31" t="s">
        <v>15</v>
      </c>
    </row>
    <row r="4" spans="2:17" ht="17.25" customHeight="1" x14ac:dyDescent="0.3">
      <c r="B4" s="13" t="s">
        <v>51</v>
      </c>
      <c r="C4" s="14">
        <v>60</v>
      </c>
      <c r="D4" s="15" t="s">
        <v>52</v>
      </c>
      <c r="H4" s="16"/>
      <c r="J4" s="44"/>
      <c r="K4" s="44"/>
      <c r="L4" s="53" t="s">
        <v>53</v>
      </c>
      <c r="M4" s="45" t="s">
        <v>54</v>
      </c>
      <c r="N4" s="46"/>
      <c r="O4" s="45" t="s">
        <v>55</v>
      </c>
      <c r="P4" s="45"/>
      <c r="Q4" s="45"/>
    </row>
    <row r="5" spans="2:17" ht="17.25" customHeight="1" x14ac:dyDescent="0.3">
      <c r="B5" s="34"/>
      <c r="C5" s="2"/>
      <c r="H5" s="16"/>
      <c r="J5" s="48"/>
      <c r="K5" s="32" t="s">
        <v>16</v>
      </c>
      <c r="L5" s="32" t="s">
        <v>17</v>
      </c>
      <c r="M5" s="32" t="s">
        <v>17</v>
      </c>
      <c r="N5" s="32" t="s">
        <v>18</v>
      </c>
      <c r="O5" s="32" t="s">
        <v>19</v>
      </c>
      <c r="P5" s="32" t="s">
        <v>17</v>
      </c>
      <c r="Q5" s="32" t="s">
        <v>17</v>
      </c>
    </row>
    <row r="6" spans="2:17" ht="17.25" customHeight="1" x14ac:dyDescent="0.3">
      <c r="B6" s="38" t="s">
        <v>56</v>
      </c>
      <c r="C6" s="36" t="s">
        <v>21</v>
      </c>
      <c r="D6" s="37" t="s">
        <v>9</v>
      </c>
      <c r="E6" s="37" t="s">
        <v>22</v>
      </c>
      <c r="F6" s="37" t="s">
        <v>11</v>
      </c>
      <c r="G6" s="37" t="s">
        <v>23</v>
      </c>
      <c r="H6" s="39" t="s">
        <v>57</v>
      </c>
      <c r="J6" s="70" t="s">
        <v>24</v>
      </c>
      <c r="K6" s="32"/>
      <c r="L6" s="32"/>
      <c r="M6" s="32"/>
      <c r="N6" s="32"/>
      <c r="O6" s="32"/>
      <c r="P6" s="32"/>
      <c r="Q6" s="32"/>
    </row>
    <row r="7" spans="2:17" ht="17.25" customHeight="1" x14ac:dyDescent="0.3">
      <c r="B7" s="13" t="s">
        <v>58</v>
      </c>
      <c r="C7" s="17" t="s">
        <v>26</v>
      </c>
      <c r="D7" s="18">
        <f>C3*C4</f>
        <v>600</v>
      </c>
      <c r="E7" s="55">
        <v>8</v>
      </c>
      <c r="F7" s="60">
        <f>D7*E7</f>
        <v>4800</v>
      </c>
      <c r="G7" s="60">
        <f>F7/$C$3</f>
        <v>480</v>
      </c>
      <c r="H7" s="57">
        <f>F7/$D$7</f>
        <v>8</v>
      </c>
      <c r="J7" s="14" t="s">
        <v>59</v>
      </c>
      <c r="K7" s="14">
        <v>20</v>
      </c>
      <c r="L7" s="55">
        <v>70</v>
      </c>
      <c r="M7" s="56">
        <f t="shared" ref="M7:M17" si="0">K7*L7</f>
        <v>1400</v>
      </c>
      <c r="N7" s="14">
        <v>10</v>
      </c>
      <c r="O7" s="33">
        <v>0</v>
      </c>
      <c r="P7" s="56">
        <f t="shared" ref="P7:P17" si="1">IF(M7&gt;0,(M7-(M7*O7))/N7,"")</f>
        <v>140</v>
      </c>
      <c r="Q7" s="56">
        <f t="shared" ref="Q7:Q17" si="2">((M7+M7*O7)/2)*$D$30</f>
        <v>63</v>
      </c>
    </row>
    <row r="8" spans="2:17" ht="17.25" customHeight="1" x14ac:dyDescent="0.3">
      <c r="B8" s="13" t="s">
        <v>60</v>
      </c>
      <c r="C8" s="17" t="s">
        <v>61</v>
      </c>
      <c r="D8" s="19">
        <v>6</v>
      </c>
      <c r="E8" s="55">
        <v>200</v>
      </c>
      <c r="F8" s="60">
        <f>D8*E8</f>
        <v>1200</v>
      </c>
      <c r="G8" s="60">
        <f>F8/$C$3</f>
        <v>120</v>
      </c>
      <c r="H8" s="57">
        <f>F8/$D$7</f>
        <v>2</v>
      </c>
      <c r="J8" s="14" t="s">
        <v>62</v>
      </c>
      <c r="K8" s="14">
        <v>10</v>
      </c>
      <c r="L8" s="55">
        <v>65</v>
      </c>
      <c r="M8" s="56">
        <f t="shared" si="0"/>
        <v>650</v>
      </c>
      <c r="N8" s="14">
        <v>10</v>
      </c>
      <c r="O8" s="33">
        <v>0</v>
      </c>
      <c r="P8" s="56">
        <f t="shared" si="1"/>
        <v>65</v>
      </c>
      <c r="Q8" s="56">
        <f t="shared" si="2"/>
        <v>29.25</v>
      </c>
    </row>
    <row r="9" spans="2:17" ht="17.25" customHeight="1" x14ac:dyDescent="0.3">
      <c r="B9" s="20" t="s">
        <v>63</v>
      </c>
      <c r="C9" s="21"/>
      <c r="D9" s="19">
        <v>0</v>
      </c>
      <c r="E9" s="55">
        <v>0</v>
      </c>
      <c r="F9" s="60">
        <f>D9*E9</f>
        <v>0</v>
      </c>
      <c r="G9" s="60">
        <f>F9/$C$3</f>
        <v>0</v>
      </c>
      <c r="H9" s="57">
        <f>F9/$D$7</f>
        <v>0</v>
      </c>
      <c r="J9" s="14" t="s">
        <v>107</v>
      </c>
      <c r="K9" s="14">
        <v>10</v>
      </c>
      <c r="L9" s="55">
        <v>40</v>
      </c>
      <c r="M9" s="56">
        <f t="shared" si="0"/>
        <v>400</v>
      </c>
      <c r="N9" s="14">
        <v>10</v>
      </c>
      <c r="O9" s="33">
        <v>0</v>
      </c>
      <c r="P9" s="56">
        <f t="shared" si="1"/>
        <v>40</v>
      </c>
      <c r="Q9" s="56">
        <f t="shared" si="2"/>
        <v>18</v>
      </c>
    </row>
    <row r="10" spans="2:17" ht="17.25" customHeight="1" x14ac:dyDescent="0.3">
      <c r="B10" s="20" t="s">
        <v>65</v>
      </c>
      <c r="C10" s="21"/>
      <c r="D10" s="19">
        <v>0</v>
      </c>
      <c r="E10" s="55">
        <v>0</v>
      </c>
      <c r="F10" s="65">
        <f>D10*E10</f>
        <v>0</v>
      </c>
      <c r="G10" s="65">
        <f>F10/$C$3</f>
        <v>0</v>
      </c>
      <c r="H10" s="64">
        <f>F10/$D$7</f>
        <v>0</v>
      </c>
      <c r="J10" s="14" t="s">
        <v>66</v>
      </c>
      <c r="K10" s="14">
        <v>10</v>
      </c>
      <c r="L10" s="55">
        <v>45</v>
      </c>
      <c r="M10" s="56">
        <f t="shared" si="0"/>
        <v>450</v>
      </c>
      <c r="N10" s="14">
        <v>10</v>
      </c>
      <c r="O10" s="33">
        <v>0</v>
      </c>
      <c r="P10" s="56">
        <f t="shared" si="1"/>
        <v>45</v>
      </c>
      <c r="Q10" s="56">
        <f t="shared" si="2"/>
        <v>20.25</v>
      </c>
    </row>
    <row r="11" spans="2:17" ht="17.25" customHeight="1" x14ac:dyDescent="0.3">
      <c r="B11" s="22" t="s">
        <v>11</v>
      </c>
      <c r="E11" s="54"/>
      <c r="F11" s="61">
        <f>SUM(F7:F10)</f>
        <v>6000</v>
      </c>
      <c r="G11" s="61">
        <f>SUM(G7:G10)</f>
        <v>600</v>
      </c>
      <c r="H11" s="59">
        <f>F11/$D$7</f>
        <v>10</v>
      </c>
      <c r="J11" s="14" t="s">
        <v>32</v>
      </c>
      <c r="K11" s="14">
        <v>1</v>
      </c>
      <c r="L11" s="55">
        <v>35</v>
      </c>
      <c r="M11" s="56">
        <f t="shared" si="0"/>
        <v>35</v>
      </c>
      <c r="N11" s="14">
        <v>10</v>
      </c>
      <c r="O11" s="33">
        <v>0</v>
      </c>
      <c r="P11" s="56">
        <f t="shared" si="1"/>
        <v>3.5</v>
      </c>
      <c r="Q11" s="56">
        <f t="shared" si="2"/>
        <v>1.575</v>
      </c>
    </row>
    <row r="12" spans="2:17" ht="17.25" customHeight="1" x14ac:dyDescent="0.3">
      <c r="B12" s="13"/>
      <c r="H12" s="16"/>
      <c r="J12" s="14" t="s">
        <v>30</v>
      </c>
      <c r="K12" s="14">
        <v>10</v>
      </c>
      <c r="L12" s="55">
        <v>12</v>
      </c>
      <c r="M12" s="56">
        <f t="shared" si="0"/>
        <v>120</v>
      </c>
      <c r="N12" s="14">
        <v>10</v>
      </c>
      <c r="O12" s="33">
        <v>0</v>
      </c>
      <c r="P12" s="56">
        <f t="shared" si="1"/>
        <v>12</v>
      </c>
      <c r="Q12" s="56">
        <f t="shared" si="2"/>
        <v>5.3999999999999995</v>
      </c>
    </row>
    <row r="13" spans="2:17" ht="17.25" customHeight="1" x14ac:dyDescent="0.3">
      <c r="B13" s="38" t="s">
        <v>20</v>
      </c>
      <c r="C13" s="36" t="s">
        <v>21</v>
      </c>
      <c r="D13" s="37" t="s">
        <v>9</v>
      </c>
      <c r="E13" s="37" t="s">
        <v>22</v>
      </c>
      <c r="F13" s="37" t="s">
        <v>11</v>
      </c>
      <c r="G13" s="37" t="s">
        <v>23</v>
      </c>
      <c r="H13" s="39" t="s">
        <v>57</v>
      </c>
      <c r="J13" s="14" t="s">
        <v>38</v>
      </c>
      <c r="K13" s="14">
        <v>1</v>
      </c>
      <c r="L13" s="55">
        <v>13</v>
      </c>
      <c r="M13" s="56">
        <f t="shared" si="0"/>
        <v>13</v>
      </c>
      <c r="N13" s="14">
        <v>10</v>
      </c>
      <c r="O13" s="33">
        <v>0</v>
      </c>
      <c r="P13" s="56">
        <f t="shared" si="1"/>
        <v>1.3</v>
      </c>
      <c r="Q13" s="56">
        <f t="shared" si="2"/>
        <v>0.58499999999999996</v>
      </c>
    </row>
    <row r="14" spans="2:17" ht="17.25" customHeight="1" x14ac:dyDescent="0.3">
      <c r="B14" s="13" t="s">
        <v>67</v>
      </c>
      <c r="C14" s="15" t="s">
        <v>68</v>
      </c>
      <c r="D14" s="23">
        <v>3</v>
      </c>
      <c r="E14" s="55">
        <v>185</v>
      </c>
      <c r="F14" s="60">
        <f t="shared" ref="F14:F22" si="3">D14*E14</f>
        <v>555</v>
      </c>
      <c r="G14" s="60">
        <f t="shared" ref="G14:G22" si="4">F14/$C$3</f>
        <v>55.5</v>
      </c>
      <c r="H14" s="57">
        <f t="shared" ref="H14:H22" si="5">F14/$D$7</f>
        <v>0.92500000000000004</v>
      </c>
      <c r="J14" s="14" t="s">
        <v>35</v>
      </c>
      <c r="K14" s="14">
        <v>4</v>
      </c>
      <c r="L14" s="55">
        <v>9</v>
      </c>
      <c r="M14" s="56">
        <f t="shared" si="0"/>
        <v>36</v>
      </c>
      <c r="N14" s="14">
        <v>10</v>
      </c>
      <c r="O14" s="33">
        <v>0</v>
      </c>
      <c r="P14" s="56">
        <f t="shared" si="1"/>
        <v>3.6</v>
      </c>
      <c r="Q14" s="56">
        <f t="shared" si="2"/>
        <v>1.6199999999999999</v>
      </c>
    </row>
    <row r="15" spans="2:17" ht="17.25" customHeight="1" x14ac:dyDescent="0.3">
      <c r="B15" s="13" t="s">
        <v>36</v>
      </c>
      <c r="C15" s="15" t="s">
        <v>69</v>
      </c>
      <c r="D15" s="14">
        <v>180</v>
      </c>
      <c r="E15" s="55">
        <v>18.66</v>
      </c>
      <c r="F15" s="60">
        <f t="shared" si="3"/>
        <v>3358.8</v>
      </c>
      <c r="G15" s="60">
        <f t="shared" si="4"/>
        <v>335.88</v>
      </c>
      <c r="H15" s="57">
        <f t="shared" si="5"/>
        <v>5.5979999999999999</v>
      </c>
      <c r="J15" s="14" t="s">
        <v>43</v>
      </c>
      <c r="K15" s="14">
        <v>1</v>
      </c>
      <c r="L15" s="55">
        <v>50</v>
      </c>
      <c r="M15" s="56">
        <f t="shared" si="0"/>
        <v>50</v>
      </c>
      <c r="N15" s="14">
        <v>10</v>
      </c>
      <c r="O15" s="33">
        <v>0</v>
      </c>
      <c r="P15" s="56">
        <f t="shared" si="1"/>
        <v>5</v>
      </c>
      <c r="Q15" s="56">
        <f t="shared" si="2"/>
        <v>2.25</v>
      </c>
    </row>
    <row r="16" spans="2:17" ht="17.25" customHeight="1" x14ac:dyDescent="0.3">
      <c r="B16" s="13" t="s">
        <v>70</v>
      </c>
      <c r="C16" s="15" t="s">
        <v>69</v>
      </c>
      <c r="D16" s="14">
        <v>120</v>
      </c>
      <c r="E16" s="55">
        <v>18.66</v>
      </c>
      <c r="F16" s="60">
        <f t="shared" si="3"/>
        <v>2239.1999999999998</v>
      </c>
      <c r="G16" s="60">
        <f t="shared" si="4"/>
        <v>223.92</v>
      </c>
      <c r="H16" s="57">
        <f t="shared" si="5"/>
        <v>3.7319999999999998</v>
      </c>
      <c r="J16" s="14" t="s">
        <v>41</v>
      </c>
      <c r="K16" s="14">
        <v>1</v>
      </c>
      <c r="L16" s="55">
        <v>140</v>
      </c>
      <c r="M16" s="56">
        <f t="shared" si="0"/>
        <v>140</v>
      </c>
      <c r="N16" s="14">
        <v>5</v>
      </c>
      <c r="O16" s="33">
        <v>0</v>
      </c>
      <c r="P16" s="56">
        <f t="shared" si="1"/>
        <v>28</v>
      </c>
      <c r="Q16" s="56">
        <f t="shared" si="2"/>
        <v>6.3</v>
      </c>
    </row>
    <row r="17" spans="2:17" ht="17.25" customHeight="1" x14ac:dyDescent="0.3">
      <c r="B17" s="13" t="s">
        <v>71</v>
      </c>
      <c r="C17" s="15" t="s">
        <v>72</v>
      </c>
      <c r="D17" s="14">
        <v>100</v>
      </c>
      <c r="E17" s="55">
        <v>0.75</v>
      </c>
      <c r="F17" s="60">
        <f t="shared" si="3"/>
        <v>75</v>
      </c>
      <c r="G17" s="60">
        <f t="shared" si="4"/>
        <v>7.5</v>
      </c>
      <c r="H17" s="57">
        <f t="shared" si="5"/>
        <v>0.125</v>
      </c>
      <c r="J17" s="14" t="s">
        <v>108</v>
      </c>
      <c r="K17" s="14">
        <v>1</v>
      </c>
      <c r="L17" s="55">
        <v>350</v>
      </c>
      <c r="M17" s="56">
        <f t="shared" si="0"/>
        <v>350</v>
      </c>
      <c r="N17" s="14">
        <v>5</v>
      </c>
      <c r="O17" s="33">
        <v>0</v>
      </c>
      <c r="P17" s="56">
        <f t="shared" si="1"/>
        <v>70</v>
      </c>
      <c r="Q17" s="56">
        <f t="shared" si="2"/>
        <v>15.75</v>
      </c>
    </row>
    <row r="18" spans="2:17" ht="17.25" customHeight="1" x14ac:dyDescent="0.3">
      <c r="B18" s="13" t="s">
        <v>27</v>
      </c>
      <c r="C18" s="15" t="s">
        <v>72</v>
      </c>
      <c r="D18" s="14">
        <v>50</v>
      </c>
      <c r="E18" s="55">
        <v>2.75</v>
      </c>
      <c r="F18" s="60">
        <f t="shared" si="3"/>
        <v>137.5</v>
      </c>
      <c r="G18" s="60">
        <f t="shared" si="4"/>
        <v>13.75</v>
      </c>
      <c r="H18" s="57">
        <f t="shared" si="5"/>
        <v>0.22916666666666666</v>
      </c>
    </row>
    <row r="19" spans="2:17" ht="17.25" customHeight="1" x14ac:dyDescent="0.3">
      <c r="B19" s="13" t="s">
        <v>73</v>
      </c>
      <c r="C19" s="15" t="s">
        <v>31</v>
      </c>
      <c r="D19" s="9">
        <v>2</v>
      </c>
      <c r="E19" s="55">
        <v>14</v>
      </c>
      <c r="F19" s="60">
        <f t="shared" si="3"/>
        <v>28</v>
      </c>
      <c r="G19" s="60">
        <f t="shared" si="4"/>
        <v>2.8</v>
      </c>
      <c r="H19" s="57">
        <f t="shared" si="5"/>
        <v>4.6666666666666669E-2</v>
      </c>
      <c r="J19" s="70" t="s">
        <v>74</v>
      </c>
      <c r="L19" s="56"/>
      <c r="M19" s="56"/>
      <c r="O19" s="71"/>
      <c r="P19" s="56"/>
      <c r="Q19" s="56"/>
    </row>
    <row r="20" spans="2:17" ht="17.25" customHeight="1" x14ac:dyDescent="0.3">
      <c r="B20" s="13" t="s">
        <v>29</v>
      </c>
      <c r="C20" s="15" t="s">
        <v>72</v>
      </c>
      <c r="D20" s="25">
        <v>40</v>
      </c>
      <c r="E20" s="55">
        <v>0.42499999999999999</v>
      </c>
      <c r="F20" s="60">
        <f t="shared" si="3"/>
        <v>17</v>
      </c>
      <c r="G20" s="60">
        <f t="shared" si="4"/>
        <v>1.7</v>
      </c>
      <c r="H20" s="57">
        <f t="shared" si="5"/>
        <v>2.8333333333333332E-2</v>
      </c>
      <c r="J20" s="14" t="s">
        <v>75</v>
      </c>
      <c r="K20" s="14">
        <v>1</v>
      </c>
      <c r="L20" s="55">
        <v>100</v>
      </c>
      <c r="M20" s="56">
        <f t="shared" ref="M20:M27" si="6">K20*L20</f>
        <v>100</v>
      </c>
      <c r="N20" s="14">
        <v>5</v>
      </c>
      <c r="O20" s="33">
        <v>0.1</v>
      </c>
      <c r="P20" s="56">
        <f t="shared" ref="P20:P27" si="7">IF(M20&gt;0,(M20-(M20*O20))/N20,"")</f>
        <v>18</v>
      </c>
      <c r="Q20" s="56">
        <f t="shared" ref="Q20:Q27" si="8">((M20+M20*O20)/2)*$D$30</f>
        <v>4.95</v>
      </c>
    </row>
    <row r="21" spans="2:17" ht="17.25" customHeight="1" x14ac:dyDescent="0.3">
      <c r="B21" s="13" t="s">
        <v>76</v>
      </c>
      <c r="C21" s="15" t="s">
        <v>61</v>
      </c>
      <c r="D21" s="25">
        <v>1200</v>
      </c>
      <c r="E21" s="55">
        <v>0.85</v>
      </c>
      <c r="F21" s="60">
        <f t="shared" si="3"/>
        <v>1020</v>
      </c>
      <c r="G21" s="60">
        <f t="shared" si="4"/>
        <v>102</v>
      </c>
      <c r="H21" s="57">
        <f t="shared" si="5"/>
        <v>1.7</v>
      </c>
      <c r="J21" s="14" t="s">
        <v>77</v>
      </c>
      <c r="K21" s="14">
        <v>1</v>
      </c>
      <c r="L21" s="55">
        <v>12</v>
      </c>
      <c r="M21" s="56">
        <f t="shared" si="6"/>
        <v>12</v>
      </c>
      <c r="N21" s="14">
        <v>5</v>
      </c>
      <c r="O21" s="33">
        <v>0.1</v>
      </c>
      <c r="P21" s="56">
        <f t="shared" si="7"/>
        <v>2.16</v>
      </c>
      <c r="Q21" s="56">
        <f t="shared" si="8"/>
        <v>0.59399999999999997</v>
      </c>
    </row>
    <row r="22" spans="2:17" ht="17.25" customHeight="1" x14ac:dyDescent="0.3">
      <c r="B22" s="13" t="s">
        <v>78</v>
      </c>
      <c r="C22" s="15" t="s">
        <v>34</v>
      </c>
      <c r="D22" s="14">
        <v>150</v>
      </c>
      <c r="E22" s="55">
        <v>3.2</v>
      </c>
      <c r="F22" s="60">
        <f t="shared" si="3"/>
        <v>480</v>
      </c>
      <c r="G22" s="60">
        <f t="shared" si="4"/>
        <v>48</v>
      </c>
      <c r="H22" s="57">
        <f t="shared" si="5"/>
        <v>0.8</v>
      </c>
      <c r="J22" s="14" t="s">
        <v>109</v>
      </c>
      <c r="K22" s="14">
        <v>1</v>
      </c>
      <c r="L22" s="55">
        <v>850</v>
      </c>
      <c r="M22" s="56">
        <f t="shared" si="6"/>
        <v>850</v>
      </c>
      <c r="N22" s="14">
        <v>5</v>
      </c>
      <c r="O22" s="33">
        <v>0.1</v>
      </c>
      <c r="P22" s="56">
        <f t="shared" si="7"/>
        <v>153</v>
      </c>
      <c r="Q22" s="56">
        <f t="shared" si="8"/>
        <v>42.074999999999996</v>
      </c>
    </row>
    <row r="23" spans="2:17" ht="17.25" customHeight="1" x14ac:dyDescent="0.3">
      <c r="B23" s="13" t="s">
        <v>80</v>
      </c>
      <c r="C23" s="15" t="s">
        <v>81</v>
      </c>
      <c r="D23" s="26">
        <v>0.1</v>
      </c>
      <c r="E23" s="56"/>
      <c r="F23" s="60">
        <f>F11*D23</f>
        <v>600</v>
      </c>
      <c r="G23" s="60">
        <f>F23/$C$3</f>
        <v>60</v>
      </c>
      <c r="H23" s="57">
        <f>F23/$D$7</f>
        <v>1</v>
      </c>
      <c r="J23" s="14" t="s">
        <v>82</v>
      </c>
      <c r="K23" s="14">
        <v>1</v>
      </c>
      <c r="L23" s="55">
        <v>40</v>
      </c>
      <c r="M23" s="56">
        <f t="shared" si="6"/>
        <v>40</v>
      </c>
      <c r="N23" s="14">
        <v>5</v>
      </c>
      <c r="O23" s="33">
        <v>0.1</v>
      </c>
      <c r="P23" s="56">
        <f t="shared" si="7"/>
        <v>7.2</v>
      </c>
      <c r="Q23" s="56">
        <f t="shared" si="8"/>
        <v>1.98</v>
      </c>
    </row>
    <row r="24" spans="2:17" ht="17.25" customHeight="1" x14ac:dyDescent="0.3">
      <c r="B24" s="13" t="s">
        <v>83</v>
      </c>
      <c r="C24" s="15" t="s">
        <v>40</v>
      </c>
      <c r="D24" s="28"/>
      <c r="E24" s="56"/>
      <c r="F24" s="62">
        <v>150</v>
      </c>
      <c r="G24" s="60">
        <f>F24/$C$3</f>
        <v>15</v>
      </c>
      <c r="H24" s="57">
        <f>F24/$D$7</f>
        <v>0.25</v>
      </c>
      <c r="J24" s="14" t="s">
        <v>84</v>
      </c>
      <c r="K24" s="14">
        <v>1</v>
      </c>
      <c r="L24" s="55">
        <v>40</v>
      </c>
      <c r="M24" s="56">
        <f t="shared" si="6"/>
        <v>40</v>
      </c>
      <c r="N24" s="14">
        <v>10</v>
      </c>
      <c r="O24" s="33">
        <v>0.1</v>
      </c>
      <c r="P24" s="56">
        <f t="shared" si="7"/>
        <v>3.6</v>
      </c>
      <c r="Q24" s="56">
        <f t="shared" si="8"/>
        <v>1.98</v>
      </c>
    </row>
    <row r="25" spans="2:17" ht="17.25" customHeight="1" x14ac:dyDescent="0.3">
      <c r="B25" s="13" t="s">
        <v>42</v>
      </c>
      <c r="C25" s="15" t="s">
        <v>40</v>
      </c>
      <c r="D25" s="28"/>
      <c r="E25" s="56"/>
      <c r="F25" s="62">
        <v>50</v>
      </c>
      <c r="G25" s="60">
        <f>F25/$C$3</f>
        <v>5</v>
      </c>
      <c r="H25" s="57">
        <f>F25/$D$7</f>
        <v>8.3333333333333329E-2</v>
      </c>
      <c r="J25" s="14" t="s">
        <v>110</v>
      </c>
      <c r="K25" s="14">
        <v>4</v>
      </c>
      <c r="L25" s="55">
        <v>9</v>
      </c>
      <c r="M25" s="56">
        <f t="shared" si="6"/>
        <v>36</v>
      </c>
      <c r="N25" s="14">
        <v>10</v>
      </c>
      <c r="O25" s="33">
        <v>0.1</v>
      </c>
      <c r="P25" s="56">
        <f t="shared" si="7"/>
        <v>3.2399999999999998</v>
      </c>
      <c r="Q25" s="56">
        <f t="shared" si="8"/>
        <v>1.782</v>
      </c>
    </row>
    <row r="26" spans="2:17" ht="17.25" customHeight="1" x14ac:dyDescent="0.3">
      <c r="B26" s="13" t="s">
        <v>86</v>
      </c>
      <c r="C26" s="15" t="s">
        <v>47</v>
      </c>
      <c r="D26" s="29">
        <v>0.09</v>
      </c>
      <c r="E26" s="56"/>
      <c r="F26" s="65">
        <f>SUM(F14:F25)*D26*(6/12)</f>
        <v>391.97249999999997</v>
      </c>
      <c r="G26" s="65">
        <f>F26/$C$3</f>
        <v>39.197249999999997</v>
      </c>
      <c r="H26" s="64">
        <f>F26/$D$7</f>
        <v>0.65328749999999991</v>
      </c>
      <c r="J26" s="14" t="s">
        <v>85</v>
      </c>
      <c r="K26" s="14">
        <v>1</v>
      </c>
      <c r="L26" s="55">
        <v>215</v>
      </c>
      <c r="M26" s="56">
        <f t="shared" si="6"/>
        <v>215</v>
      </c>
      <c r="N26" s="14">
        <v>10</v>
      </c>
      <c r="O26" s="33">
        <v>0.1</v>
      </c>
      <c r="P26" s="56">
        <f t="shared" si="7"/>
        <v>19.350000000000001</v>
      </c>
      <c r="Q26" s="56">
        <f t="shared" si="8"/>
        <v>10.6425</v>
      </c>
    </row>
    <row r="27" spans="2:17" ht="17.25" customHeight="1" x14ac:dyDescent="0.3">
      <c r="B27" s="13"/>
      <c r="E27" s="58" t="s">
        <v>88</v>
      </c>
      <c r="F27" s="61">
        <f>SUM(F14:F26)</f>
        <v>9102.4724999999999</v>
      </c>
      <c r="G27" s="61">
        <f>SUM(G14:G25)</f>
        <v>871.05</v>
      </c>
      <c r="H27" s="59">
        <f>SUM(H14:H25)</f>
        <v>14.5175</v>
      </c>
      <c r="J27" s="14" t="s">
        <v>87</v>
      </c>
      <c r="K27" s="14">
        <v>1</v>
      </c>
      <c r="L27" s="55">
        <v>50</v>
      </c>
      <c r="M27" s="63">
        <f t="shared" si="6"/>
        <v>50</v>
      </c>
      <c r="N27" s="49">
        <v>5</v>
      </c>
      <c r="O27" s="50">
        <v>0.1</v>
      </c>
      <c r="P27" s="63">
        <f t="shared" si="7"/>
        <v>9</v>
      </c>
      <c r="Q27" s="63">
        <f t="shared" si="8"/>
        <v>2.4750000000000001</v>
      </c>
    </row>
    <row r="28" spans="2:17" ht="17.25" customHeight="1" x14ac:dyDescent="0.3">
      <c r="B28" s="13"/>
      <c r="F28" s="27"/>
      <c r="G28" s="27"/>
      <c r="H28" s="16"/>
      <c r="J28" s="14"/>
      <c r="K28" s="14"/>
      <c r="L28" s="55"/>
      <c r="M28" s="56"/>
      <c r="N28" s="14"/>
      <c r="O28" s="33"/>
      <c r="P28" s="56"/>
      <c r="Q28" s="56"/>
    </row>
    <row r="29" spans="2:17" ht="17.25" customHeight="1" x14ac:dyDescent="0.3">
      <c r="B29" s="38" t="s">
        <v>45</v>
      </c>
      <c r="C29" s="35"/>
      <c r="D29" s="40"/>
      <c r="E29" s="35"/>
      <c r="F29" s="41" t="s">
        <v>11</v>
      </c>
      <c r="G29" s="37" t="s">
        <v>23</v>
      </c>
      <c r="H29" s="39" t="s">
        <v>57</v>
      </c>
      <c r="L29" s="9" t="s">
        <v>11</v>
      </c>
      <c r="M29" s="56">
        <f>SUM(M7:M27)</f>
        <v>4987</v>
      </c>
      <c r="P29" s="56">
        <f>SUM(P7:P27)</f>
        <v>628.95000000000016</v>
      </c>
      <c r="Q29" s="56">
        <f>SUM(Q7:Q27)</f>
        <v>230.45849999999999</v>
      </c>
    </row>
    <row r="30" spans="2:17" ht="17.25" customHeight="1" x14ac:dyDescent="0.3">
      <c r="B30" s="13" t="s">
        <v>46</v>
      </c>
      <c r="C30" s="15" t="s">
        <v>47</v>
      </c>
      <c r="D30" s="26">
        <v>0.09</v>
      </c>
      <c r="E30" s="3"/>
      <c r="F30" s="60">
        <f>'Sources - Production'!P29+'Sources - Production'!Q29</f>
        <v>859.40850000000012</v>
      </c>
      <c r="G30" s="60">
        <f>F30/$C$3</f>
        <v>85.940850000000012</v>
      </c>
      <c r="H30" s="57">
        <f>F30/$D$7</f>
        <v>1.4323475000000001</v>
      </c>
      <c r="J30" s="69"/>
    </row>
    <row r="31" spans="2:17" ht="17.25" customHeight="1" x14ac:dyDescent="0.3">
      <c r="B31" s="13" t="s">
        <v>48</v>
      </c>
      <c r="E31" s="3"/>
      <c r="F31" s="66">
        <v>200</v>
      </c>
      <c r="G31" s="65">
        <f>F31/$C$3</f>
        <v>20</v>
      </c>
      <c r="H31" s="64">
        <f>F31/$D$7</f>
        <v>0.33333333333333331</v>
      </c>
      <c r="J31" s="72"/>
    </row>
    <row r="32" spans="2:17" ht="17.25" customHeight="1" x14ac:dyDescent="0.3">
      <c r="B32" s="13"/>
      <c r="E32" s="24" t="s">
        <v>49</v>
      </c>
      <c r="F32" s="61">
        <f>SUM(F30:F31)</f>
        <v>1059.4085</v>
      </c>
      <c r="G32" s="61">
        <f>SUM(G30:G31)</f>
        <v>105.94085000000001</v>
      </c>
      <c r="H32" s="59">
        <f>SUM(H30:H31)</f>
        <v>1.7656808333333334</v>
      </c>
    </row>
    <row r="33" spans="2:12" ht="17.25" customHeight="1" x14ac:dyDescent="0.3">
      <c r="B33" s="42"/>
      <c r="C33" s="43"/>
      <c r="D33" s="43"/>
      <c r="E33" s="43"/>
      <c r="F33" s="65"/>
      <c r="G33" s="65"/>
      <c r="H33" s="64"/>
    </row>
    <row r="34" spans="2:12" ht="17.25" customHeight="1" x14ac:dyDescent="0.3">
      <c r="B34" s="13"/>
      <c r="E34" s="24" t="s">
        <v>50</v>
      </c>
      <c r="F34" s="61">
        <f>F27+F32</f>
        <v>10161.880999999999</v>
      </c>
      <c r="G34" s="61">
        <f>G27+G32</f>
        <v>976.99084999999991</v>
      </c>
      <c r="H34" s="59">
        <f>H27+H32</f>
        <v>16.283180833333333</v>
      </c>
    </row>
    <row r="35" spans="2:12" ht="17.25" customHeight="1" x14ac:dyDescent="0.3">
      <c r="B35" s="13"/>
      <c r="E35" s="24" t="s">
        <v>89</v>
      </c>
      <c r="F35" s="61">
        <f>F11-F27</f>
        <v>-3102.4724999999999</v>
      </c>
      <c r="G35" s="61">
        <f>G11-G27</f>
        <v>-271.04999999999995</v>
      </c>
      <c r="H35" s="59">
        <f>H11-H27</f>
        <v>-4.5175000000000001</v>
      </c>
    </row>
    <row r="36" spans="2:12" ht="17.25" customHeight="1" thickBot="1" x14ac:dyDescent="0.35">
      <c r="B36" s="30"/>
      <c r="C36" s="4"/>
      <c r="D36" s="4"/>
      <c r="E36" s="5" t="s">
        <v>90</v>
      </c>
      <c r="F36" s="67">
        <f>F11-F27-F32</f>
        <v>-4161.8809999999994</v>
      </c>
      <c r="G36" s="67">
        <f>G11-G27-G32</f>
        <v>-376.99084999999997</v>
      </c>
      <c r="H36" s="68">
        <f>H11-H27-H32</f>
        <v>-6.2831808333333337</v>
      </c>
    </row>
    <row r="37" spans="2:12" ht="17.25" customHeight="1" x14ac:dyDescent="0.3"/>
    <row r="38" spans="2:12" ht="17.25" customHeight="1" x14ac:dyDescent="0.3">
      <c r="E38" s="3"/>
    </row>
    <row r="39" spans="2:12" ht="17.25" customHeight="1" x14ac:dyDescent="0.3">
      <c r="D39" s="3"/>
    </row>
    <row r="40" spans="2:12" ht="17.25" customHeight="1" x14ac:dyDescent="0.3"/>
    <row r="44" spans="2:12" x14ac:dyDescent="0.3">
      <c r="L44" s="3"/>
    </row>
  </sheetData>
  <mergeCells count="1">
    <mergeCell ref="B1:H1"/>
  </mergeCell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E272BA2EC307A4F840456AFB3F4BF30" ma:contentTypeVersion="14" ma:contentTypeDescription="Create a new document." ma:contentTypeScope="" ma:versionID="971d982661a3229b4f5b06bad9bd83ce">
  <xsd:schema xmlns:xsd="http://www.w3.org/2001/XMLSchema" xmlns:xs="http://www.w3.org/2001/XMLSchema" xmlns:p="http://schemas.microsoft.com/office/2006/metadata/properties" xmlns:ns2="afeaba0f-363c-487a-9eab-504fb0ae0068" xmlns:ns3="3cf54786-5cbe-4eed-9d82-be7bae57988e" targetNamespace="http://schemas.microsoft.com/office/2006/metadata/properties" ma:root="true" ma:fieldsID="76061db5591fa8807d06033b64eab8eb" ns2:_="" ns3:_="">
    <xsd:import namespace="afeaba0f-363c-487a-9eab-504fb0ae0068"/>
    <xsd:import namespace="3cf54786-5cbe-4eed-9d82-be7bae57988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eaba0f-363c-487a-9eab-504fb0ae00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3e20e570-3a27-4eff-9ea0-d3488a33fbf1"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cf54786-5cbe-4eed-9d82-be7bae57988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22560828-92f4-433d-b2dd-f0bd0e5db71c}" ma:internalName="TaxCatchAll" ma:showField="CatchAllData" ma:web="3cf54786-5cbe-4eed-9d82-be7bae57988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feaba0f-363c-487a-9eab-504fb0ae0068">
      <Terms xmlns="http://schemas.microsoft.com/office/infopath/2007/PartnerControls"/>
    </lcf76f155ced4ddcb4097134ff3c332f>
    <TaxCatchAll xmlns="3cf54786-5cbe-4eed-9d82-be7bae57988e" xsi:nil="true"/>
  </documentManagement>
</p:properties>
</file>

<file path=customXml/itemProps1.xml><?xml version="1.0" encoding="utf-8"?>
<ds:datastoreItem xmlns:ds="http://schemas.openxmlformats.org/officeDocument/2006/customXml" ds:itemID="{3F8CE35F-0147-432D-AF0A-594AB7537778}">
  <ds:schemaRefs>
    <ds:schemaRef ds:uri="http://schemas.microsoft.com/sharepoint/v3/contenttype/forms"/>
  </ds:schemaRefs>
</ds:datastoreItem>
</file>

<file path=customXml/itemProps2.xml><?xml version="1.0" encoding="utf-8"?>
<ds:datastoreItem xmlns:ds="http://schemas.openxmlformats.org/officeDocument/2006/customXml" ds:itemID="{DE928258-2A78-4680-8C7C-A222C96D67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eaba0f-363c-487a-9eab-504fb0ae0068"/>
    <ds:schemaRef ds:uri="3cf54786-5cbe-4eed-9d82-be7bae5798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57ECC1F-AED3-4F5C-8018-E659276F6F52}">
  <ds:schemaRefs>
    <ds:schemaRef ds:uri="http://schemas.openxmlformats.org/package/2006/metadata/core-properties"/>
    <ds:schemaRef ds:uri="http://schemas.microsoft.com/office/2006/documentManagement/types"/>
    <ds:schemaRef ds:uri="http://purl.org/dc/terms/"/>
    <ds:schemaRef ds:uri="http://schemas.microsoft.com/sharepoint/v3"/>
    <ds:schemaRef ds:uri="http://purl.org/dc/dcmitype/"/>
    <ds:schemaRef ds:uri="http://schemas.microsoft.com/office/2006/metadata/properties"/>
    <ds:schemaRef ds:uri="http://www.w3.org/XML/1998/namespace"/>
    <ds:schemaRef ds:uri="http://purl.org/dc/elements/1.1/"/>
    <ds:schemaRef ds:uri="http://schemas.microsoft.com/office/infopath/2007/PartnerControls"/>
    <ds:schemaRef ds:uri="4094fec7-eb86-4f33-885f-f4ec69534214"/>
    <ds:schemaRef ds:uri="73a3dab4-b00d-4a1f-a26d-4395bc4ed9d3"/>
    <ds:schemaRef ds:uri="afeaba0f-363c-487a-9eab-504fb0ae0068"/>
    <ds:schemaRef ds:uri="3cf54786-5cbe-4eed-9d82-be7bae57988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Introduction</vt:lpstr>
      <vt:lpstr>Establishment</vt:lpstr>
      <vt:lpstr>10 hives</vt:lpstr>
      <vt:lpstr>20 hives</vt:lpstr>
      <vt:lpstr>30 hives</vt:lpstr>
      <vt:lpstr>Sources - Establishment</vt:lpstr>
      <vt:lpstr>Sources - Production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Milhollin, Ryan K.</dc:creator>
  <cp:keywords/>
  <dc:description/>
  <cp:lastModifiedBy>Stokes, Victoria</cp:lastModifiedBy>
  <cp:revision/>
  <dcterms:created xsi:type="dcterms:W3CDTF">2023-02-08T17:41:45Z</dcterms:created>
  <dcterms:modified xsi:type="dcterms:W3CDTF">2025-04-24T17:07:46Z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0x010100CE272BA2EC307A4F840456AFB3F4BF30</vt:lpwstr>
  </property>
</Properties>
</file>